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C:\Users\lapierre51r\Documents\Terrasolis\A ranger sur les réseau\Projets\PEI CARBONE\COTECH\Modèle éco\Eval éco\"/>
    </mc:Choice>
  </mc:AlternateContent>
  <xr:revisionPtr revIDLastSave="0" documentId="8_{59C44AD0-CD70-4178-825A-DC0F8EEBD626}" xr6:coauthVersionLast="47" xr6:coauthVersionMax="47" xr10:uidLastSave="{00000000-0000-0000-0000-000000000000}"/>
  <bookViews>
    <workbookView xWindow="-108" yWindow="-108" windowWidth="23256" windowHeight="12576" tabRatio="803" xr2:uid="{00000000-000D-0000-FFFF-FFFF00000000}"/>
  </bookViews>
  <sheets>
    <sheet name="Paramètres" sheetId="8" r:id="rId1"/>
    <sheet name="Synthèse " sheetId="13" r:id="rId2"/>
    <sheet name="1. Culture bas intrants N" sheetId="1" r:id="rId3"/>
    <sheet name="2. Substitution EM par EO" sheetId="5" r:id="rId4"/>
    <sheet name="3. Substition N liq-sol-inhib" sheetId="6" r:id="rId5"/>
    <sheet name="4. Interculture" sheetId="3" r:id="rId6"/>
    <sheet name="5. Haie" sheetId="4" r:id="rId7"/>
    <sheet name="6. Restitut° des pailles" sheetId="12" r:id="rId8"/>
    <sheet name="7. Pilotage de l'N" sheetId="9" r:id="rId9"/>
    <sheet name="8. Prairie temporaire" sheetId="10" r:id="rId10"/>
    <sheet name="listes" sheetId="2" state="hidden" r:id="rId11"/>
  </sheets>
  <definedNames>
    <definedName name="Table_Cultures">listes!$X$2:$AB$17</definedName>
    <definedName name="Type_matériel" localSheetId="2">'3. Substition N liq-sol-inhib'!$C$11</definedName>
    <definedName name="_xlnm.Print_Area" localSheetId="6">'5. Haie'!$A$1:$L$43</definedName>
    <definedName name="_xlnm.Print_Area" localSheetId="7">'6. Restitut° des pailles'!$A$1:$L$39</definedName>
    <definedName name="_xlnm.Print_Area" localSheetId="0">Paramètres!$A$3:$K$42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6" i="5" l="1"/>
  <c r="C16" i="5"/>
  <c r="E20" i="5"/>
  <c r="C20" i="5"/>
  <c r="E18" i="5"/>
  <c r="C18" i="5"/>
  <c r="E12" i="6"/>
  <c r="C12" i="6"/>
  <c r="E11" i="1" l="1"/>
  <c r="E20" i="1"/>
  <c r="C20" i="1"/>
  <c r="E18" i="1"/>
  <c r="C18" i="1"/>
  <c r="E16" i="1"/>
  <c r="C16" i="1"/>
  <c r="E7" i="6" l="1"/>
  <c r="F36" i="8"/>
  <c r="H36" i="8" s="1"/>
  <c r="D22" i="5" l="1"/>
  <c r="O14" i="10" l="1"/>
  <c r="O15" i="10"/>
  <c r="O16" i="10"/>
  <c r="O17" i="10"/>
  <c r="O18" i="10"/>
  <c r="J7" i="10"/>
  <c r="K7" i="10"/>
  <c r="L7" i="10"/>
  <c r="M7" i="10"/>
  <c r="I9" i="10"/>
  <c r="J9" i="10"/>
  <c r="K9" i="10"/>
  <c r="O9" i="10" s="1"/>
  <c r="L9" i="10"/>
  <c r="I10" i="10"/>
  <c r="J10" i="10"/>
  <c r="K10" i="10"/>
  <c r="O10" i="10" s="1"/>
  <c r="L10" i="10"/>
  <c r="I11" i="10"/>
  <c r="J11" i="10"/>
  <c r="K11" i="10"/>
  <c r="O11" i="10" s="1"/>
  <c r="L11" i="10"/>
  <c r="I12" i="10"/>
  <c r="J12" i="10"/>
  <c r="K12" i="10"/>
  <c r="O12" i="10" s="1"/>
  <c r="L12" i="10"/>
  <c r="I13" i="10"/>
  <c r="J13" i="10"/>
  <c r="K13" i="10"/>
  <c r="O13" i="10" s="1"/>
  <c r="L13" i="10"/>
  <c r="J8" i="10"/>
  <c r="K8" i="10"/>
  <c r="O8" i="10" s="1"/>
  <c r="L8" i="10"/>
  <c r="I8" i="10"/>
  <c r="E17" i="13"/>
  <c r="E17" i="10"/>
  <c r="C20" i="10"/>
  <c r="E19" i="10"/>
  <c r="C18" i="10"/>
  <c r="C19" i="10" s="1"/>
  <c r="C16" i="10"/>
  <c r="C17" i="10" s="1"/>
  <c r="C10" i="10"/>
  <c r="C13" i="10" s="1"/>
  <c r="O19" i="10" l="1"/>
  <c r="E8" i="10" s="1"/>
  <c r="E10" i="10" s="1"/>
  <c r="E13" i="10" s="1"/>
  <c r="D14" i="10" s="1"/>
  <c r="E22" i="10"/>
  <c r="C22" i="10"/>
  <c r="B22" i="12"/>
  <c r="B17" i="13"/>
  <c r="B16" i="13"/>
  <c r="J10" i="5"/>
  <c r="K10" i="5"/>
  <c r="L10" i="5"/>
  <c r="M10" i="5"/>
  <c r="N10" i="5"/>
  <c r="I10" i="5"/>
  <c r="E16" i="13"/>
  <c r="F37" i="8"/>
  <c r="H37" i="8" l="1"/>
  <c r="M10" i="10"/>
  <c r="J13" i="5"/>
  <c r="J12" i="5"/>
  <c r="D23" i="10"/>
  <c r="D24" i="10" s="1"/>
  <c r="J11" i="5"/>
  <c r="B19" i="8"/>
  <c r="B18" i="8"/>
  <c r="A12" i="8"/>
  <c r="F7" i="3"/>
  <c r="F6" i="3"/>
  <c r="F5" i="3"/>
  <c r="G7" i="4"/>
  <c r="G6" i="4"/>
  <c r="G5" i="4"/>
  <c r="A11" i="13"/>
  <c r="A12" i="13" s="1"/>
  <c r="F8" i="13"/>
  <c r="B15" i="13"/>
  <c r="B17" i="8" s="1"/>
  <c r="B14" i="13"/>
  <c r="B16" i="8" s="1"/>
  <c r="E13" i="13"/>
  <c r="B13" i="13"/>
  <c r="B15" i="8" s="1"/>
  <c r="E12" i="13"/>
  <c r="B12" i="13"/>
  <c r="B14" i="8" s="1"/>
  <c r="E11" i="13"/>
  <c r="B11" i="13"/>
  <c r="B13" i="8" s="1"/>
  <c r="E10" i="13"/>
  <c r="B10" i="13"/>
  <c r="B12" i="8" s="1"/>
  <c r="D3" i="13"/>
  <c r="C32" i="12"/>
  <c r="C29" i="12"/>
  <c r="C23" i="12"/>
  <c r="E15" i="13" s="1"/>
  <c r="F34" i="8"/>
  <c r="M8" i="10" s="1"/>
  <c r="F35" i="8"/>
  <c r="F39" i="8"/>
  <c r="M11" i="10" s="1"/>
  <c r="F42" i="8"/>
  <c r="K8" i="12"/>
  <c r="K19" i="12" s="1"/>
  <c r="I8" i="12"/>
  <c r="G8" i="12"/>
  <c r="G19" i="12" s="1"/>
  <c r="E8" i="12"/>
  <c r="E19" i="12" s="1"/>
  <c r="C8" i="12"/>
  <c r="C19" i="12" s="1"/>
  <c r="H42" i="8" l="1"/>
  <c r="M13" i="10"/>
  <c r="B8" i="9"/>
  <c r="H13" i="9" s="1"/>
  <c r="F16" i="13" s="1"/>
  <c r="M9" i="10"/>
  <c r="D25" i="10"/>
  <c r="G17" i="13" s="1"/>
  <c r="F17" i="13"/>
  <c r="H34" i="8"/>
  <c r="F40" i="8" s="1"/>
  <c r="C7" i="6"/>
  <c r="B9" i="9"/>
  <c r="A13" i="13"/>
  <c r="A14" i="8"/>
  <c r="A13" i="8"/>
  <c r="C33" i="12"/>
  <c r="E30" i="12"/>
  <c r="E32" i="12" s="1"/>
  <c r="B12" i="12"/>
  <c r="D12" i="12"/>
  <c r="F12" i="12"/>
  <c r="H12" i="12"/>
  <c r="J12" i="12"/>
  <c r="G14" i="12"/>
  <c r="I13" i="9" l="1"/>
  <c r="G16" i="13" s="1"/>
  <c r="H39" i="8"/>
  <c r="M12" i="10"/>
  <c r="A14" i="13"/>
  <c r="A15" i="8"/>
  <c r="C12" i="12"/>
  <c r="K12" i="12"/>
  <c r="E12" i="12"/>
  <c r="G12" i="12"/>
  <c r="I12" i="12"/>
  <c r="K14" i="12"/>
  <c r="E14" i="12"/>
  <c r="C14" i="12"/>
  <c r="I14" i="12"/>
  <c r="A1" i="10"/>
  <c r="A1" i="9"/>
  <c r="A1" i="12"/>
  <c r="D1" i="4"/>
  <c r="D1" i="3"/>
  <c r="A1" i="6"/>
  <c r="A1" i="5"/>
  <c r="A1" i="1"/>
  <c r="A15" i="13" l="1"/>
  <c r="A16" i="8"/>
  <c r="C13" i="12"/>
  <c r="C15" i="12" s="1"/>
  <c r="C16" i="12" s="1"/>
  <c r="E13" i="12"/>
  <c r="E15" i="12" s="1"/>
  <c r="E16" i="12" s="1"/>
  <c r="G13" i="12"/>
  <c r="G15" i="12" s="1"/>
  <c r="G16" i="12" s="1"/>
  <c r="I13" i="12"/>
  <c r="I15" i="12" s="1"/>
  <c r="I16" i="12" s="1"/>
  <c r="K13" i="12"/>
  <c r="K15" i="12" s="1"/>
  <c r="K16" i="12" s="1"/>
  <c r="C8" i="6"/>
  <c r="E8" i="6"/>
  <c r="C12" i="5"/>
  <c r="E12" i="5"/>
  <c r="D13" i="5" l="1"/>
  <c r="D13" i="6"/>
  <c r="D9" i="6"/>
  <c r="C14" i="6"/>
  <c r="A16" i="13"/>
  <c r="A17" i="13" s="1"/>
  <c r="A18" i="13" s="1"/>
  <c r="A19" i="13" s="1"/>
  <c r="A17" i="8"/>
  <c r="E25" i="12"/>
  <c r="E14" i="6"/>
  <c r="I27" i="4"/>
  <c r="I29" i="4"/>
  <c r="D12" i="4"/>
  <c r="D28" i="4" s="1"/>
  <c r="D15" i="6" l="1"/>
  <c r="F12" i="13" s="1"/>
  <c r="A18" i="8"/>
  <c r="D23" i="5"/>
  <c r="E29" i="12"/>
  <c r="E33" i="12" s="1"/>
  <c r="D37" i="12" s="1"/>
  <c r="I7" i="4"/>
  <c r="G4" i="4"/>
  <c r="E14" i="13" s="1"/>
  <c r="J17" i="4"/>
  <c r="C17" i="4"/>
  <c r="B17" i="4"/>
  <c r="C16" i="4" s="1"/>
  <c r="L16" i="4"/>
  <c r="K16" i="4"/>
  <c r="B16" i="4"/>
  <c r="A16" i="4"/>
  <c r="J14" i="4"/>
  <c r="C14" i="4"/>
  <c r="B14" i="4"/>
  <c r="L13" i="4"/>
  <c r="K13" i="4"/>
  <c r="B13" i="4"/>
  <c r="A13" i="4"/>
  <c r="D24" i="3"/>
  <c r="H24" i="3"/>
  <c r="I20" i="3"/>
  <c r="I17" i="3"/>
  <c r="I14" i="3"/>
  <c r="J19" i="3"/>
  <c r="J16" i="3"/>
  <c r="J13" i="3"/>
  <c r="B13" i="3"/>
  <c r="K19" i="3"/>
  <c r="K16" i="3"/>
  <c r="K13" i="3"/>
  <c r="C20" i="3"/>
  <c r="D19" i="3" s="1"/>
  <c r="C17" i="3"/>
  <c r="D16" i="3" s="1"/>
  <c r="C14" i="3"/>
  <c r="B20" i="3"/>
  <c r="B17" i="3"/>
  <c r="A19" i="3"/>
  <c r="A16" i="3"/>
  <c r="A13" i="3"/>
  <c r="B19" i="3"/>
  <c r="B16" i="3"/>
  <c r="AM18" i="2"/>
  <c r="AM19" i="2"/>
  <c r="J17" i="3" s="1"/>
  <c r="AM20" i="2"/>
  <c r="AM21" i="2"/>
  <c r="AM22" i="2"/>
  <c r="AM23" i="2"/>
  <c r="AM17" i="2"/>
  <c r="AM16" i="2"/>
  <c r="AM15" i="2"/>
  <c r="K17" i="4" s="1"/>
  <c r="AM14" i="2"/>
  <c r="J20" i="3" s="1"/>
  <c r="AM13" i="2"/>
  <c r="AM12" i="2"/>
  <c r="AM11" i="2"/>
  <c r="AM10" i="2"/>
  <c r="AM9" i="2"/>
  <c r="AM8" i="2"/>
  <c r="J14" i="3" s="1"/>
  <c r="AM7" i="2"/>
  <c r="AM6" i="2"/>
  <c r="AM5" i="2"/>
  <c r="AM4" i="2"/>
  <c r="AM3" i="2"/>
  <c r="AM2" i="2"/>
  <c r="K14" i="4" s="1"/>
  <c r="D16" i="6" l="1"/>
  <c r="G12" i="13" s="1"/>
  <c r="I8" i="4"/>
  <c r="I19" i="4" s="1"/>
  <c r="D24" i="5"/>
  <c r="G11" i="13" s="1"/>
  <c r="F11" i="13"/>
  <c r="D36" i="12"/>
  <c r="F15" i="13" s="1"/>
  <c r="G15" i="13"/>
  <c r="B14" i="3"/>
  <c r="C13" i="3" s="1"/>
  <c r="D13" i="3" s="1"/>
  <c r="I26" i="4"/>
  <c r="I23" i="4"/>
  <c r="I22" i="4"/>
  <c r="I21" i="4"/>
  <c r="I20" i="4"/>
  <c r="J16" i="4"/>
  <c r="I16" i="4" s="1"/>
  <c r="J13" i="4"/>
  <c r="I13" i="4" s="1"/>
  <c r="C13" i="4"/>
  <c r="I13" i="3"/>
  <c r="I16" i="3"/>
  <c r="H16" i="3" s="1"/>
  <c r="I19" i="3"/>
  <c r="H19" i="3" s="1"/>
  <c r="C16" i="3"/>
  <c r="C19" i="3"/>
  <c r="A19" i="8" l="1"/>
  <c r="I24" i="4"/>
  <c r="H13" i="3"/>
  <c r="H21" i="3" s="1"/>
  <c r="H26" i="3" s="1"/>
  <c r="F27" i="3" s="1"/>
  <c r="D21" i="3"/>
  <c r="D26" i="3" s="1"/>
  <c r="F13" i="13" l="1"/>
  <c r="I25" i="4"/>
  <c r="I28" i="4" s="1"/>
  <c r="F28" i="3" l="1"/>
  <c r="G13" i="13" s="1"/>
  <c r="G32" i="4"/>
  <c r="F14" i="13" s="1"/>
  <c r="E19" i="1"/>
  <c r="C19" i="1"/>
  <c r="C17" i="1"/>
  <c r="E17" i="1"/>
  <c r="G33" i="4" l="1"/>
  <c r="G14" i="13" s="1"/>
  <c r="E22" i="1"/>
  <c r="C22" i="1"/>
  <c r="D23" i="1" l="1"/>
  <c r="E10" i="1"/>
  <c r="E13" i="1" s="1"/>
  <c r="C10" i="1"/>
  <c r="C13" i="1" s="1"/>
  <c r="D14" i="1" l="1"/>
  <c r="D24" i="1" l="1"/>
  <c r="D25" i="1" l="1"/>
  <c r="G10" i="13" s="1"/>
  <c r="G20" i="13" s="1"/>
  <c r="G22" i="13" s="1"/>
  <c r="F10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HERBIN Thomas (Siege)</author>
  </authors>
  <commentList>
    <comment ref="E5" authorId="0" shapeId="0" xr:uid="{00000000-0006-0000-0200-000001000000}">
      <text>
        <r>
          <rPr>
            <sz val="8"/>
            <color indexed="81"/>
            <rFont val="Tahoma"/>
            <family val="2"/>
          </rPr>
          <t>L'introcution d'une culture de printemps nécessite la présence d'un couvert (à saisir dans l'onglet spécifique, mesure 4)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E11" authorId="0" shapeId="0" xr:uid="{00000000-0006-0000-0200-000002000000}">
      <text>
        <r>
          <rPr>
            <sz val="8"/>
            <color indexed="81"/>
            <rFont val="Tahoma"/>
            <family val="2"/>
          </rPr>
          <t>Effet précédent estimé à 2/3 qtx protéagineux/légumineuse</t>
        </r>
      </text>
    </comment>
    <comment ref="E12" authorId="0" shapeId="0" xr:uid="{00000000-0006-0000-0200-000003000000}">
      <text>
        <r>
          <rPr>
            <sz val="8"/>
            <color indexed="81"/>
            <rFont val="Tahoma"/>
            <family val="2"/>
          </rPr>
          <t>Réduction apport d'N sur culture suivante -10%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8" authorId="0" shapeId="0" xr:uid="{00000000-0006-0000-0200-000004000000}">
      <text>
        <r>
          <rPr>
            <sz val="9"/>
            <color indexed="81"/>
            <rFont val="Tahoma"/>
            <charset val="1"/>
          </rPr>
          <t xml:space="preserve">Récolte ou arrachage inclus. 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HERBIN Thomas (Siege)</author>
  </authors>
  <commentList>
    <comment ref="E5" authorId="0" shapeId="0" xr:uid="{00000000-0006-0000-0300-000001000000}">
      <text>
        <r>
          <rPr>
            <sz val="9"/>
            <color indexed="81"/>
            <rFont val="Tahoma"/>
            <family val="2"/>
          </rPr>
          <t xml:space="preserve">Estimation des apports fertilisants en suivant le lien : https://fertiorga.arvalis-infos.fr/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HERBIN Thomas (Siege)</author>
  </authors>
  <commentList>
    <comment ref="E6" authorId="0" shapeId="0" xr:uid="{00000000-0006-0000-0400-000001000000}">
      <text>
        <r>
          <rPr>
            <sz val="8"/>
            <color indexed="81"/>
            <rFont val="Tahoma"/>
            <family val="2"/>
          </rPr>
          <t xml:space="preserve">-10% d'apport sol limon
-15% d'apport sol craie
</t>
        </r>
      </text>
    </comment>
    <comment ref="E7" authorId="0" shapeId="0" xr:uid="{00000000-0006-0000-0400-000002000000}">
      <text>
        <r>
          <rPr>
            <sz val="8"/>
            <color indexed="81"/>
            <rFont val="Tahoma"/>
            <family val="2"/>
          </rPr>
          <t>Modification prix et type d'engrais dans l'onglet paramétrage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HERBIN Thomas (Siege)</author>
  </authors>
  <commentList>
    <comment ref="E11" authorId="0" shapeId="0" xr:uid="{00000000-0006-0000-0900-000001000000}">
      <text>
        <r>
          <rPr>
            <sz val="8"/>
            <color indexed="81"/>
            <rFont val="Tahoma"/>
            <family val="2"/>
          </rPr>
          <t>Effet précédent estimé à 2/3 qtx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2" authorId="0" shapeId="0" xr:uid="{00000000-0006-0000-0900-000002000000}">
      <text>
        <r>
          <rPr>
            <sz val="8"/>
            <color indexed="81"/>
            <rFont val="Tahoma"/>
            <family val="2"/>
          </rPr>
          <t>Réduction apport d'N sur culture suivante -10%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<sst xmlns="http://schemas.openxmlformats.org/spreadsheetml/2006/main" count="538" uniqueCount="368">
  <si>
    <t>Quantité u/ha</t>
  </si>
  <si>
    <t>Prix €/u</t>
  </si>
  <si>
    <t>Montant €/ha</t>
  </si>
  <si>
    <t>Différentiel</t>
  </si>
  <si>
    <t>Mécanisation/MO €/ha</t>
  </si>
  <si>
    <t>- Type de matériel</t>
  </si>
  <si>
    <t>Pulvérisateur porté 1200 l - 24 m</t>
  </si>
  <si>
    <t>Pulvérisateur porté 1500 l - 24 m</t>
  </si>
  <si>
    <t>Pulvérisateur porté 1800 l - 28 m</t>
  </si>
  <si>
    <t>Coût €/ha</t>
  </si>
  <si>
    <t>Pulvérisateur trainé 2500 l - 24 m</t>
  </si>
  <si>
    <t>Pulvérisateur trainé 3200 l - 28 m</t>
  </si>
  <si>
    <t>Pulvérisateur trainé 4000 l - 36 m</t>
  </si>
  <si>
    <t>- Coût</t>
  </si>
  <si>
    <t>Matériel de pulvérisation</t>
  </si>
  <si>
    <t>Epandeur porté cuve 2300  l 24 à 36 m</t>
  </si>
  <si>
    <t>Epandeur porté cuve 3200 l 24 à 36 m</t>
  </si>
  <si>
    <t>Epandeur porté cuve 4000  l 40 à 48 m</t>
  </si>
  <si>
    <t>Epandeur porté cuve 4500 l 40 à 54 m</t>
  </si>
  <si>
    <t>Différentiel €/ha</t>
  </si>
  <si>
    <t>Automoteur 140 ch 15-18 hl 24 m</t>
  </si>
  <si>
    <t>Automoteur 180 ch 30 hl 28 m</t>
  </si>
  <si>
    <t>Automoteur 180 ch 30 hl 36 m</t>
  </si>
  <si>
    <t>Automoteur 200 ch 40 hl 28 à 32 m</t>
  </si>
  <si>
    <t>Automoteur 220 ch 50 hl 36 m</t>
  </si>
  <si>
    <t>Automoteur 250 ch 50 hl 36 m</t>
  </si>
  <si>
    <t>Type d'éffluent</t>
  </si>
  <si>
    <t>Boue urbaine liquide</t>
  </si>
  <si>
    <t>Boue déshydratée non chaulée</t>
  </si>
  <si>
    <t>Boue déshydratée chaulée</t>
  </si>
  <si>
    <t>Boue traitement lisier de porc</t>
  </si>
  <si>
    <t>Boue papeterie</t>
  </si>
  <si>
    <t>Digestat brut</t>
  </si>
  <si>
    <t>Digestat liquide</t>
  </si>
  <si>
    <t>Digestat solide</t>
  </si>
  <si>
    <t>Digestat voie sèche</t>
  </si>
  <si>
    <t>Fumier bovin</t>
  </si>
  <si>
    <t>Fumier ovin</t>
  </si>
  <si>
    <t>Fumier porc</t>
  </si>
  <si>
    <t>Fumier cheval</t>
  </si>
  <si>
    <t>Fumier volaille</t>
  </si>
  <si>
    <t>Fiente de canard</t>
  </si>
  <si>
    <t>Fiente dinde</t>
  </si>
  <si>
    <t>Fiente poule brute</t>
  </si>
  <si>
    <t>Fiente poule sèche</t>
  </si>
  <si>
    <t>Lisier de bovin</t>
  </si>
  <si>
    <t>Lisier de porc</t>
  </si>
  <si>
    <t>Compost de déchets verts</t>
  </si>
  <si>
    <t>Co-compost de déchets verts et biodéchets</t>
  </si>
  <si>
    <t>Co-compost de déchets verts et boue</t>
  </si>
  <si>
    <t>Compost d'ordures ménagères résiduelles</t>
  </si>
  <si>
    <t>Compost de fumier (sauf volaille)</t>
  </si>
  <si>
    <t>Refus lisier de porc+/- composté</t>
  </si>
  <si>
    <t>Compost de fumier de volaille</t>
  </si>
  <si>
    <t>Ecumes défécation</t>
  </si>
  <si>
    <t>Vinasse diluée (t/ha)</t>
  </si>
  <si>
    <t>Vinasse concentrée (t/ha)</t>
  </si>
  <si>
    <t>Prix €/t</t>
  </si>
  <si>
    <t>Type de matériel</t>
  </si>
  <si>
    <t>Buse et rampe</t>
  </si>
  <si>
    <t>Enfouisseur</t>
  </si>
  <si>
    <t>Epandeur à fumier</t>
  </si>
  <si>
    <t>Pendillard</t>
  </si>
  <si>
    <t>Indifférencié</t>
  </si>
  <si>
    <t>Quantité t</t>
  </si>
  <si>
    <t>Montant €</t>
  </si>
  <si>
    <t>Rdt t/ha</t>
  </si>
  <si>
    <t>Charges opéra. (€/T</t>
  </si>
  <si>
    <t>Aides couplées</t>
  </si>
  <si>
    <t>Marge brute</t>
  </si>
  <si>
    <t>Gain culture suivante</t>
  </si>
  <si>
    <t>Gain N culture suivante</t>
  </si>
  <si>
    <t>Type de culture</t>
  </si>
  <si>
    <t>Blé d'hiver</t>
  </si>
  <si>
    <t>Colza d'hiver</t>
  </si>
  <si>
    <t>Orge d'hiver</t>
  </si>
  <si>
    <t>Orge de printemps</t>
  </si>
  <si>
    <t>Pois de printemps</t>
  </si>
  <si>
    <t>Luzerne déshydratée</t>
  </si>
  <si>
    <t>Betterave sucrière</t>
  </si>
  <si>
    <t>Charges proportionnelles</t>
  </si>
  <si>
    <t>Engrais minéral en -</t>
  </si>
  <si>
    <t>Tye engrais minéral</t>
  </si>
  <si>
    <t>Solution azoté</t>
  </si>
  <si>
    <t>Ammonitrate</t>
  </si>
  <si>
    <t>Super 45</t>
  </si>
  <si>
    <t>Chlorure</t>
  </si>
  <si>
    <t>N-P-K</t>
  </si>
  <si>
    <t>P-K</t>
  </si>
  <si>
    <t>K</t>
  </si>
  <si>
    <t>Epandeur effluents d'élevages</t>
  </si>
  <si>
    <t>Charges fixes €/ha</t>
  </si>
  <si>
    <t>Nb heure/ha</t>
  </si>
  <si>
    <t>Entretien</t>
  </si>
  <si>
    <t>Fuel l/ha</t>
  </si>
  <si>
    <t>Prix du fuel €/l</t>
  </si>
  <si>
    <t>Prix de la MO €/h</t>
  </si>
  <si>
    <t>Montant MB €/ha</t>
  </si>
  <si>
    <t>- Coût €/ha</t>
  </si>
  <si>
    <t>- Entretien/ha</t>
  </si>
  <si>
    <t>- Fuel l/ha</t>
  </si>
  <si>
    <t>- MO h/ha</t>
  </si>
  <si>
    <t>Charges globales €/ha</t>
  </si>
  <si>
    <t>Epandeur lisier 8 m3 buse arrière simple</t>
  </si>
  <si>
    <t>Epandeur lisier10,5 m3 + rampe à buse 12 m</t>
  </si>
  <si>
    <t>Epandeur lisier12,5 m3 + rampe à buse 12 m</t>
  </si>
  <si>
    <t>Epandeur lisier12,5 m3 + rampe à pendillards 12 m</t>
  </si>
  <si>
    <t>Epandeur à lisier 15,5 m3 + rampe à pendillards 12 m</t>
  </si>
  <si>
    <t>Epandeur à lisier 15,5 m3 + rampe à pendillards 15 m</t>
  </si>
  <si>
    <t>Epandeur à lisier 15,5 m3 + rampe à pendillards 18 m</t>
  </si>
  <si>
    <t>Epandeur à lisier 19 m3 + rampe à pendillards 15 m</t>
  </si>
  <si>
    <t>Epandeur à lisier 19 m3 + rampe à pendillards 18 m</t>
  </si>
  <si>
    <t>Epandeur à lisier 19 m3 + rampe à pendillards 21 m</t>
  </si>
  <si>
    <t>Epandeur à lisier 21 m3 + rampe à pendillards 18 m</t>
  </si>
  <si>
    <t>Epandeur à lisier 21 m3 + rampe à pendillards 21 m</t>
  </si>
  <si>
    <t>Epandeur à lisier 21 m3 + rampe à pendillards 24 m</t>
  </si>
  <si>
    <t>Hypothse 50 m3/ha</t>
  </si>
  <si>
    <t>Hypothèse 25 T/ha</t>
  </si>
  <si>
    <t>Epandeur 16-18 t 2 hérisons verticaux 3 essieux</t>
  </si>
  <si>
    <t>Epandeur 12 t 2 hérissons verticaux 2 essieux</t>
  </si>
  <si>
    <t>Epandeur 16 t 2 hérissons verticaux 2 essieux</t>
  </si>
  <si>
    <t>Traction</t>
  </si>
  <si>
    <t>travail du sol</t>
  </si>
  <si>
    <t>126-140ch 4R.M. B semi-auto 700h/an + relevage masse</t>
  </si>
  <si>
    <t>141-160ch 4R.M. B semi-auto 700h/an + relevage masse</t>
  </si>
  <si>
    <t>161-180ch 4R.M. B semi-auto 700h/an + relevage masse</t>
  </si>
  <si>
    <t>181-200ch 4R.M. B semi-auto 700h/an + relevage masse</t>
  </si>
  <si>
    <t>travail du sol - Semis - destruction culure</t>
  </si>
  <si>
    <t>Coût €/heure</t>
  </si>
  <si>
    <t>débit de chantier</t>
  </si>
  <si>
    <t>Décompacteur - 3 m 6 lames avec rouleau</t>
  </si>
  <si>
    <t>Décompacteur - 3 m 6 lames avec rouleau- non stop hydraulique</t>
  </si>
  <si>
    <t>Déchaumeur 3 m - dent disque combinés</t>
  </si>
  <si>
    <t>Déchaumeur 4 m - dent disque combinés- non stop</t>
  </si>
  <si>
    <t>Déchaumeur 6 m - dent disque combinés- non stop - repliable</t>
  </si>
  <si>
    <t>Déchaumeur rapide - 3 m - fixe porté - disques indépendants</t>
  </si>
  <si>
    <t>Déchaumeur rapide - 4 m - fixe porté - disques indépendants</t>
  </si>
  <si>
    <t>Déchaumeur rapide - 4 m - repliable - disques indépendants</t>
  </si>
  <si>
    <t>Déchaumeur rapide- 5 m- trainé - repliable - freinage - disques indépendants</t>
  </si>
  <si>
    <t>GNR/heure</t>
  </si>
  <si>
    <t>Rouleau destructeur frontal 3 m , rouleau simple</t>
  </si>
  <si>
    <t>Rouleau destructeur 3 m - rouleuax double</t>
  </si>
  <si>
    <t>Rouleau destructeur 6 m - rouleuax simple</t>
  </si>
  <si>
    <t>Rouleau destructeur 6 m - rouleuax double HG</t>
  </si>
  <si>
    <t>Herse rotative 4 m + rouleau caoutchouc</t>
  </si>
  <si>
    <t>Herse rotative 3 m + rouleau barre</t>
  </si>
  <si>
    <t>Semoir à Dents Spécifiques 4 m + pneumatique</t>
  </si>
  <si>
    <t>Semoir double caisse 4000 l control terrage centralisé 4m</t>
  </si>
  <si>
    <t xml:space="preserve">Semoir à dents spécifiques 4 m + pneumatique </t>
  </si>
  <si>
    <t>Fléaux Axe horizontal 4,8 m</t>
  </si>
  <si>
    <t>Giro 4,50/5 m Axe vertical repliable (3 rotors)</t>
  </si>
  <si>
    <t>Giro 6 m Axe vertical repliable (3 rotors)</t>
  </si>
  <si>
    <t>30 à 70€/ha</t>
  </si>
  <si>
    <t>tracteur</t>
  </si>
  <si>
    <t>matériel</t>
  </si>
  <si>
    <t>semis couvert</t>
  </si>
  <si>
    <t>semoir</t>
  </si>
  <si>
    <t>broyage</t>
  </si>
  <si>
    <t>matériel destruction</t>
  </si>
  <si>
    <t>Coût €/heure hors carburant</t>
  </si>
  <si>
    <t>GNR</t>
  </si>
  <si>
    <t xml:space="preserve"> /he</t>
  </si>
  <si>
    <t>Mo+gnr+mat /ha</t>
  </si>
  <si>
    <t>avec Implantation intercultures</t>
  </si>
  <si>
    <t>sans Implantation intercultures</t>
  </si>
  <si>
    <t>&lt;==ch en + ou en - ==&gt;</t>
  </si>
  <si>
    <t>Prix de l'Unité de N €/u</t>
  </si>
  <si>
    <t>€/ha</t>
  </si>
  <si>
    <t>Différentiel global</t>
  </si>
  <si>
    <t>Longueur en métres</t>
  </si>
  <si>
    <t>Largeur en mètres</t>
  </si>
  <si>
    <t>Investissement</t>
  </si>
  <si>
    <t>€/plant</t>
  </si>
  <si>
    <t>Arrosage les 3 premières années</t>
  </si>
  <si>
    <t>heures/km</t>
  </si>
  <si>
    <t>ans</t>
  </si>
  <si>
    <t>subvention montant /années</t>
  </si>
  <si>
    <t xml:space="preserve">Différentiel de résultat en €/ha </t>
  </si>
  <si>
    <t>Charges annuelles en -</t>
  </si>
  <si>
    <t>carburant ex 100l/ha</t>
  </si>
  <si>
    <t>Prix du GNR €/l</t>
  </si>
  <si>
    <t>&lt;=== charges en + ou en - ===&gt;</t>
  </si>
  <si>
    <t>Valorisation spécifique de la Haie ==&gt;</t>
  </si>
  <si>
    <t>MO Entretien annuel en mn/plant</t>
  </si>
  <si>
    <t>Implantation d'une interculture</t>
  </si>
  <si>
    <t>- Coûts specifiques cultures</t>
  </si>
  <si>
    <t>Fonctionnement général :</t>
  </si>
  <si>
    <t>Les cases en</t>
  </si>
  <si>
    <t>jaune</t>
  </si>
  <si>
    <t>sont à compléter par le conseiller</t>
  </si>
  <si>
    <t>Nom de la structure</t>
  </si>
  <si>
    <t>Paramètres généraux</t>
  </si>
  <si>
    <t>Coût horaire MO (€/h)</t>
  </si>
  <si>
    <t>SCEA DUPONT</t>
  </si>
  <si>
    <t>€/u</t>
  </si>
  <si>
    <t>€/t</t>
  </si>
  <si>
    <t>Kcl 60</t>
  </si>
  <si>
    <t>P</t>
  </si>
  <si>
    <t>Ammonitrate 33,5</t>
  </si>
  <si>
    <t>solution 30/39</t>
  </si>
  <si>
    <t>N</t>
  </si>
  <si>
    <t>valeur retenue</t>
  </si>
  <si>
    <t>coût de l'unité</t>
  </si>
  <si>
    <t>prix achat de l'engrais simple</t>
  </si>
  <si>
    <t>teneur de l'élément à chiffrer/t</t>
  </si>
  <si>
    <t>engrais simple</t>
  </si>
  <si>
    <t>élément</t>
  </si>
  <si>
    <t xml:space="preserve"> /t</t>
  </si>
  <si>
    <t>N disponible</t>
  </si>
  <si>
    <t>N en kg/t</t>
  </si>
  <si>
    <t>u/t</t>
  </si>
  <si>
    <t>triticale</t>
  </si>
  <si>
    <t>orge</t>
  </si>
  <si>
    <t>blé</t>
  </si>
  <si>
    <t>colza</t>
  </si>
  <si>
    <t>pois</t>
  </si>
  <si>
    <t>paille</t>
  </si>
  <si>
    <t>Calcul de valeurs indicatives de l'unité fertilisante N,P,K d'après une valeur d'engrais simple</t>
  </si>
  <si>
    <t>Nature du prix retenu :</t>
  </si>
  <si>
    <t>(préciser prix moyen du ….    au  …...   / cotation des engrais du ……..</t>
  </si>
  <si>
    <t>cotation des engrais de mars 2022</t>
  </si>
  <si>
    <t>Prix de N €/u *</t>
  </si>
  <si>
    <t xml:space="preserve"> * saisie libre ou de la valeur indicative du tableau ci-dessous</t>
  </si>
  <si>
    <t xml:space="preserve"> 18.46 (DAP)</t>
  </si>
  <si>
    <t>4 à 6 t/ha</t>
  </si>
  <si>
    <t>2 à 4 t/ha</t>
  </si>
  <si>
    <t>5 à 7t/ha</t>
  </si>
  <si>
    <t>3 à 4 t/ha</t>
  </si>
  <si>
    <t>1 à 3 t/ha</t>
  </si>
  <si>
    <t xml:space="preserve">Valeur marchande de la paille </t>
  </si>
  <si>
    <t>ha</t>
  </si>
  <si>
    <t>tonnes totales</t>
  </si>
  <si>
    <t>t/ha de SAU</t>
  </si>
  <si>
    <t>€</t>
  </si>
  <si>
    <t>Protéines</t>
  </si>
  <si>
    <t>Les résultats techniques sont issus des expérimentations Cérèsia ou Arvalis</t>
  </si>
  <si>
    <t>Gain de rendement (q/ha)</t>
  </si>
  <si>
    <t>Gain protéines</t>
  </si>
  <si>
    <t>Ammo 27 (u/ha)</t>
  </si>
  <si>
    <t>Solution 30 (u/ha)</t>
  </si>
  <si>
    <t>Gain de marge (€/ha)</t>
  </si>
  <si>
    <t>Intérêt du pilotage</t>
  </si>
  <si>
    <t>Engrais organique en +</t>
  </si>
  <si>
    <t>Nexen (inhibteur)</t>
  </si>
  <si>
    <t>Substitution de l'azote liquide par de l'ammonitrate et utilisation d'inhibiteurs</t>
  </si>
  <si>
    <t>Pilotage de l'azote</t>
  </si>
  <si>
    <t>Prix de l'ammonitrate</t>
  </si>
  <si>
    <t>Prix de la solution</t>
  </si>
  <si>
    <t>q/ha</t>
  </si>
  <si>
    <t xml:space="preserve">Rendement </t>
  </si>
  <si>
    <t>Prix du blé</t>
  </si>
  <si>
    <t>Gain global</t>
  </si>
  <si>
    <t>€/t/dizième</t>
  </si>
  <si>
    <t>Augmentation des prairie temporaires sur terres labourables</t>
  </si>
  <si>
    <t>Coût de l'outil (€/ha)</t>
  </si>
  <si>
    <t>Apport en éléments NPK en -</t>
  </si>
  <si>
    <t>Apport en éléments NPK en +</t>
  </si>
  <si>
    <t>Différentiel N</t>
  </si>
  <si>
    <t>Différentiel P</t>
  </si>
  <si>
    <t>Différentiel K</t>
  </si>
  <si>
    <t>Total</t>
  </si>
  <si>
    <t>Le PEI CarbonThink est un projet régional visant à évaluer et financer la performance Carbone de fermes de grandes cultures en Grand Est.</t>
  </si>
  <si>
    <t>Un projet financé par :</t>
  </si>
  <si>
    <t>Cette feuille de calcul vous permet d'approcher simplement et rapidement le coût des pratiques bas-Carbone retenues lors de l'élaboration de votre diagnostic Carbone</t>
  </si>
  <si>
    <t>Introduction de cultures à faible besoin azoté</t>
  </si>
  <si>
    <t>Substitution des engrais minéraux par des engrais organiques</t>
  </si>
  <si>
    <t>Restitution des pailles</t>
  </si>
  <si>
    <t>Ce travail est le fruit d'une collaboration entre CDER, AS/FDSEAConseil, Cérèsia et Terrasolis, financée dans le cadre du PEI CarbonThink</t>
  </si>
  <si>
    <t>Surface totale de l'exploitation</t>
  </si>
  <si>
    <t>Gain en tonnes d'équivalent CO2 issues de la simulation</t>
  </si>
  <si>
    <t>Gain en tonnes d'équivalent CO2 par hectare issues de la simulation</t>
  </si>
  <si>
    <t>Coût des pratiques :</t>
  </si>
  <si>
    <t>Nombre d'ha concerné par la pratique</t>
  </si>
  <si>
    <t>Chaque onglet correspond à une pratique, et vous avez la possibilité de simuler les 8 pratiques listées ci-dessous et d'en éditer la synthèse.</t>
  </si>
  <si>
    <t>Coût de la pratique €/ha</t>
  </si>
  <si>
    <t>Nombre d'ha concernés par la pratique</t>
  </si>
  <si>
    <t>Coût de la pratique à l'échelle de l'exploitation</t>
  </si>
  <si>
    <t xml:space="preserve">Pratique n°4 </t>
  </si>
  <si>
    <t xml:space="preserve">Pratique n°5 </t>
  </si>
  <si>
    <t>Pratique n°7</t>
  </si>
  <si>
    <t xml:space="preserve">Pratique n°3 </t>
  </si>
  <si>
    <t>Pratique n°1</t>
  </si>
  <si>
    <t>Pratique n°6</t>
  </si>
  <si>
    <t>Pratique n°8</t>
  </si>
  <si>
    <t>Solution 30/39</t>
  </si>
  <si>
    <t>Surface concernée</t>
  </si>
  <si>
    <t>Coût de la pratique/ha</t>
  </si>
  <si>
    <t>Coût global de la pratique</t>
  </si>
  <si>
    <t>Coût global des pratiques</t>
  </si>
  <si>
    <t xml:space="preserve">Pratique n°2 </t>
  </si>
  <si>
    <t>Coût / tonne d'équivalent CO2 gagnée</t>
  </si>
  <si>
    <t>Gain Carbone de la pratique en TeqCO2</t>
  </si>
  <si>
    <t>Surface concernée en ha</t>
  </si>
  <si>
    <t>Coût sans la pratique</t>
  </si>
  <si>
    <t>Coût avec la pratique</t>
  </si>
  <si>
    <t>Coût semence</t>
  </si>
  <si>
    <t>Nombre passages</t>
  </si>
  <si>
    <t>Coût de la mécanisation et Main d'œuvre</t>
  </si>
  <si>
    <t>Unités d'Azote produites par le couvert</t>
  </si>
  <si>
    <t>Apport du couvert en unité de N/ha, méthode MERCI</t>
  </si>
  <si>
    <t>Nombre plants / mètre</t>
  </si>
  <si>
    <t>Nombre de plants necessaires</t>
  </si>
  <si>
    <t>Soit pour 1 ha</t>
  </si>
  <si>
    <t>Avec Implantation Haie pour 1 ha</t>
  </si>
  <si>
    <t>Sans Implantation Haie pour 1 ha</t>
  </si>
  <si>
    <t>Travail du sol lors de l'implantation de la haie</t>
  </si>
  <si>
    <t>Travail du sol</t>
  </si>
  <si>
    <t>Plantation</t>
  </si>
  <si>
    <t>Coût des plants</t>
  </si>
  <si>
    <t>Protection + piquets tuteurs</t>
  </si>
  <si>
    <t>Protection grand gibier, paillage</t>
  </si>
  <si>
    <t>Temps de MO plantation</t>
  </si>
  <si>
    <t>Total investissement</t>
  </si>
  <si>
    <t>Durée d'amortissement</t>
  </si>
  <si>
    <t>Autres charges annuelles</t>
  </si>
  <si>
    <t>&lt;== Perte marge brute moyenne/ha</t>
  </si>
  <si>
    <t>Teneurs en éléments fertilisants de la paille</t>
  </si>
  <si>
    <t>Ha concernés</t>
  </si>
  <si>
    <t>Rendement paille</t>
  </si>
  <si>
    <t>Quantité de paille</t>
  </si>
  <si>
    <t>% N disponible</t>
  </si>
  <si>
    <t>Valeur à compenser en éléments fertilisants</t>
  </si>
  <si>
    <t>Valeur de compensation globale</t>
  </si>
  <si>
    <t>Si vente prix de la paille en andain</t>
  </si>
  <si>
    <t>Valeur globale</t>
  </si>
  <si>
    <t>Frais liés à la restitution des pailles</t>
  </si>
  <si>
    <t>Export des pailles</t>
  </si>
  <si>
    <t>Valeur fertilisante à compenser</t>
  </si>
  <si>
    <t xml:space="preserve">Autres compensations </t>
  </si>
  <si>
    <t>Saisie libre</t>
  </si>
  <si>
    <t xml:space="preserve">Saisie libre </t>
  </si>
  <si>
    <t>Vente de la paille paille</t>
  </si>
  <si>
    <t>Produits liés à la pratique</t>
  </si>
  <si>
    <t>Dépenses liée à la pratique</t>
  </si>
  <si>
    <t xml:space="preserve">Produits permis par la restitution </t>
  </si>
  <si>
    <t>Résultat de la pratique</t>
  </si>
  <si>
    <t>Nb ha concernés par la pratique</t>
  </si>
  <si>
    <t>Implantation d'une haie</t>
  </si>
  <si>
    <t>https://methode-merci.fr/</t>
  </si>
  <si>
    <t xml:space="preserve">Synthèse de l'aide au calcul des coûts des pratiques bas carbone </t>
  </si>
  <si>
    <t>prairie temporaire mélange …..</t>
  </si>
  <si>
    <t>quantité apportée/ha</t>
  </si>
  <si>
    <t>Aide au calul charges opérationnelles prairie temporaire</t>
  </si>
  <si>
    <t>Semences</t>
  </si>
  <si>
    <t>traitement</t>
  </si>
  <si>
    <t>coût/ha</t>
  </si>
  <si>
    <t>à préciser</t>
  </si>
  <si>
    <t>€/kg</t>
  </si>
  <si>
    <t>€/l</t>
  </si>
  <si>
    <t xml:space="preserve">total Charges opérationnelles </t>
  </si>
  <si>
    <t>Autre saisie libre</t>
  </si>
  <si>
    <t>Culture =&gt;</t>
  </si>
  <si>
    <t>remplacée =&gt;</t>
  </si>
  <si>
    <t>Entec (inhibiteur)</t>
  </si>
  <si>
    <t>produit complémentaire induit</t>
  </si>
  <si>
    <t>Pomme de terre conso</t>
  </si>
  <si>
    <t>Pomme de terre fécule</t>
  </si>
  <si>
    <t>Maïs grain</t>
  </si>
  <si>
    <t>Tournesol</t>
  </si>
  <si>
    <t>Oeillette</t>
  </si>
  <si>
    <t>Oignon</t>
  </si>
  <si>
    <t>Chanvre</t>
  </si>
  <si>
    <t>Soja</t>
  </si>
  <si>
    <t>Lentille</t>
  </si>
  <si>
    <t>gains avec la pratique</t>
  </si>
  <si>
    <t>gains sans la pratique</t>
  </si>
  <si>
    <t>Total produit - charges</t>
  </si>
  <si>
    <t>Calculateur économique du coût des pratiques bas-Carbone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</si>
</sst>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#,##0\ &quot;€&quot;;[Red]\-#,##0\ &quot;€&quot;"/>
    <numFmt numFmtId="8" formatCode="#,##0.00\ &quot;€&quot;;[Red]\-#,##0.00\ &quot;€&quot;"/>
    <numFmt numFmtId="164" formatCode="0.0"/>
    <numFmt numFmtId="165" formatCode="#,##0.00\ &quot;€&quot;"/>
    <numFmt numFmtId="166" formatCode="0_ ;[Red]\-0\ "/>
    <numFmt numFmtId="167" formatCode="#,##0\ &quot;€&quot;"/>
  </numFmts>
  <fonts count="22" x14ac:knownFonts="1">
    <font>
      <sz val="10"/>
      <color theme="1"/>
      <name val="Gill Sans MT"/>
      <family val="2"/>
    </font>
    <font>
      <b/>
      <sz val="10"/>
      <color theme="1"/>
      <name val="Gill Sans MT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  <font>
      <b/>
      <sz val="11"/>
      <color theme="1"/>
      <name val="Gill Sans MT"/>
      <family val="2"/>
    </font>
    <font>
      <b/>
      <sz val="12"/>
      <color theme="1"/>
      <name val="Gill Sans MT"/>
      <family val="2"/>
    </font>
    <font>
      <b/>
      <sz val="14"/>
      <color theme="1"/>
      <name val="Gill Sans MT"/>
      <family val="2"/>
    </font>
    <font>
      <b/>
      <sz val="18"/>
      <color theme="1"/>
      <name val="Gill Sans MT"/>
      <family val="2"/>
    </font>
    <font>
      <b/>
      <sz val="20"/>
      <color theme="1"/>
      <name val="Gill Sans MT"/>
      <family val="2"/>
    </font>
    <font>
      <b/>
      <sz val="24"/>
      <color theme="1"/>
      <name val="Gill Sans MT"/>
      <family val="2"/>
    </font>
    <font>
      <sz val="12"/>
      <color theme="1"/>
      <name val="Gill Sans MT"/>
      <family val="2"/>
    </font>
    <font>
      <b/>
      <sz val="16"/>
      <color theme="1"/>
      <name val="Gill Sans MT"/>
      <family val="2"/>
    </font>
    <font>
      <sz val="11"/>
      <color theme="1"/>
      <name val="Gill Sans MT"/>
      <family val="2"/>
    </font>
    <font>
      <b/>
      <u/>
      <sz val="10"/>
      <color theme="1"/>
      <name val="Gill Sans MT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Gill Sans MT"/>
      <family val="2"/>
    </font>
    <font>
      <i/>
      <sz val="10"/>
      <color theme="1"/>
      <name val="Gill Sans MT"/>
      <family val="2"/>
    </font>
    <font>
      <u/>
      <sz val="10"/>
      <color theme="10"/>
      <name val="Gill Sans MT"/>
      <family val="2"/>
    </font>
    <font>
      <u/>
      <sz val="24"/>
      <color theme="10"/>
      <name val="Gill Sans MT"/>
      <family val="2"/>
    </font>
    <font>
      <sz val="9"/>
      <color indexed="81"/>
      <name val="Tahoma"/>
      <charset val="1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ashDotDot">
        <color indexed="64"/>
      </left>
      <right style="double">
        <color indexed="64"/>
      </right>
      <top style="dashDotDot">
        <color indexed="64"/>
      </top>
      <bottom style="dashDotDot">
        <color indexed="64"/>
      </bottom>
      <diagonal/>
    </border>
    <border>
      <left style="dashDotDot">
        <color indexed="64"/>
      </left>
      <right style="dashDotDot">
        <color indexed="64"/>
      </right>
      <top style="dashDotDot">
        <color indexed="64"/>
      </top>
      <bottom style="dashDotDot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tted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uble">
        <color auto="1"/>
      </left>
      <right style="dotted">
        <color auto="1"/>
      </right>
      <top/>
      <bottom/>
      <diagonal/>
    </border>
    <border>
      <left style="dotted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tted">
        <color auto="1"/>
      </right>
      <top style="thin">
        <color auto="1"/>
      </top>
      <bottom/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auto="1"/>
      </left>
      <right/>
      <top style="dashDot">
        <color auto="1"/>
      </top>
      <bottom/>
      <diagonal/>
    </border>
    <border>
      <left/>
      <right/>
      <top style="dashDot">
        <color auto="1"/>
      </top>
      <bottom/>
      <diagonal/>
    </border>
    <border>
      <left/>
      <right style="double">
        <color auto="1"/>
      </right>
      <top style="dashDot">
        <color auto="1"/>
      </top>
      <bottom/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346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" xfId="0" applyBorder="1"/>
    <xf numFmtId="0" fontId="0" fillId="0" borderId="13" xfId="0" applyBorder="1"/>
    <xf numFmtId="0" fontId="0" fillId="0" borderId="15" xfId="0" applyBorder="1"/>
    <xf numFmtId="0" fontId="0" fillId="0" borderId="10" xfId="0" applyFill="1" applyBorder="1"/>
    <xf numFmtId="0" fontId="0" fillId="0" borderId="7" xfId="0" applyFill="1" applyBorder="1"/>
    <xf numFmtId="0" fontId="0" fillId="0" borderId="11" xfId="0" applyFill="1" applyBorder="1"/>
    <xf numFmtId="0" fontId="0" fillId="0" borderId="12" xfId="0" applyFill="1" applyBorder="1"/>
    <xf numFmtId="0" fontId="0" fillId="0" borderId="5" xfId="0" applyFill="1" applyBorder="1"/>
    <xf numFmtId="0" fontId="1" fillId="0" borderId="10" xfId="0" applyFont="1" applyFill="1" applyBorder="1"/>
    <xf numFmtId="0" fontId="1" fillId="0" borderId="11" xfId="0" applyFont="1" applyBorder="1"/>
    <xf numFmtId="0" fontId="1" fillId="0" borderId="12" xfId="0" applyFont="1" applyBorder="1"/>
    <xf numFmtId="0" fontId="0" fillId="0" borderId="14" xfId="0" applyBorder="1"/>
    <xf numFmtId="0" fontId="0" fillId="0" borderId="14" xfId="0" applyFill="1" applyBorder="1"/>
    <xf numFmtId="0" fontId="0" fillId="0" borderId="15" xfId="0" applyFill="1" applyBorder="1"/>
    <xf numFmtId="0" fontId="1" fillId="0" borderId="10" xfId="0" applyFont="1" applyBorder="1"/>
    <xf numFmtId="0" fontId="1" fillId="0" borderId="5" xfId="0" applyFont="1" applyBorder="1"/>
    <xf numFmtId="0" fontId="0" fillId="0" borderId="0" xfId="0" applyFill="1" applyBorder="1"/>
    <xf numFmtId="0" fontId="0" fillId="3" borderId="15" xfId="0" applyFill="1" applyBorder="1"/>
    <xf numFmtId="0" fontId="0" fillId="0" borderId="13" xfId="0" applyFill="1" applyBorder="1"/>
    <xf numFmtId="0" fontId="0" fillId="0" borderId="2" xfId="0" applyFill="1" applyBorder="1"/>
    <xf numFmtId="0" fontId="0" fillId="0" borderId="3" xfId="0" applyFill="1" applyBorder="1"/>
    <xf numFmtId="0" fontId="0" fillId="0" borderId="4" xfId="0" applyFill="1" applyBorder="1"/>
    <xf numFmtId="49" fontId="0" fillId="0" borderId="2" xfId="0" applyNumberFormat="1" applyFill="1" applyBorder="1"/>
    <xf numFmtId="49" fontId="0" fillId="0" borderId="7" xfId="0" applyNumberFormat="1" applyBorder="1"/>
    <xf numFmtId="49" fontId="0" fillId="0" borderId="2" xfId="0" applyNumberFormat="1" applyFill="1" applyBorder="1" applyAlignment="1">
      <alignment vertical="center"/>
    </xf>
    <xf numFmtId="0" fontId="0" fillId="0" borderId="0" xfId="0" applyFont="1" applyBorder="1"/>
    <xf numFmtId="0" fontId="0" fillId="0" borderId="13" xfId="0" applyFill="1" applyBorder="1" applyAlignment="1">
      <alignment wrapText="1"/>
    </xf>
    <xf numFmtId="164" fontId="0" fillId="3" borderId="1" xfId="0" applyNumberFormat="1" applyFill="1" applyBorder="1" applyAlignment="1">
      <alignment horizontal="center"/>
    </xf>
    <xf numFmtId="49" fontId="0" fillId="0" borderId="5" xfId="0" applyNumberFormat="1" applyFill="1" applyBorder="1"/>
    <xf numFmtId="0" fontId="0" fillId="0" borderId="0" xfId="0" applyBorder="1" applyAlignment="1"/>
    <xf numFmtId="49" fontId="0" fillId="0" borderId="7" xfId="0" applyNumberFormat="1" applyFill="1" applyBorder="1"/>
    <xf numFmtId="0" fontId="0" fillId="0" borderId="15" xfId="0" applyFill="1" applyBorder="1" applyAlignment="1">
      <alignment wrapText="1"/>
    </xf>
    <xf numFmtId="0" fontId="0" fillId="0" borderId="8" xfId="0" applyFill="1" applyBorder="1"/>
    <xf numFmtId="1" fontId="0" fillId="0" borderId="13" xfId="0" applyNumberFormat="1" applyFill="1" applyBorder="1" applyAlignment="1">
      <alignment wrapText="1"/>
    </xf>
    <xf numFmtId="1" fontId="0" fillId="0" borderId="15" xfId="0" applyNumberFormat="1" applyFill="1" applyBorder="1" applyAlignment="1">
      <alignment wrapText="1"/>
    </xf>
    <xf numFmtId="0" fontId="0" fillId="3" borderId="15" xfId="0" applyFill="1" applyBorder="1" applyAlignment="1">
      <alignment horizontal="center"/>
    </xf>
    <xf numFmtId="0" fontId="0" fillId="4" borderId="11" xfId="0" applyFill="1" applyBorder="1"/>
    <xf numFmtId="0" fontId="0" fillId="4" borderId="12" xfId="0" applyFill="1" applyBorder="1"/>
    <xf numFmtId="0" fontId="0" fillId="4" borderId="10" xfId="0" applyFill="1" applyBorder="1"/>
    <xf numFmtId="164" fontId="1" fillId="4" borderId="1" xfId="0" applyNumberFormat="1" applyFont="1" applyFill="1" applyBorder="1"/>
    <xf numFmtId="0" fontId="1" fillId="4" borderId="1" xfId="0" applyFont="1" applyFill="1" applyBorder="1"/>
    <xf numFmtId="0" fontId="0" fillId="3" borderId="10" xfId="0" applyFill="1" applyBorder="1"/>
    <xf numFmtId="0" fontId="0" fillId="3" borderId="7" xfId="0" applyFill="1" applyBorder="1"/>
    <xf numFmtId="0" fontId="0" fillId="3" borderId="11" xfId="0" applyFill="1" applyBorder="1"/>
    <xf numFmtId="0" fontId="0" fillId="3" borderId="8" xfId="0" applyFill="1" applyBorder="1"/>
    <xf numFmtId="0" fontId="1" fillId="0" borderId="1" xfId="0" applyFont="1" applyFill="1" applyBorder="1"/>
    <xf numFmtId="0" fontId="1" fillId="3" borderId="1" xfId="0" applyFont="1" applyFill="1" applyBorder="1" applyAlignment="1">
      <alignment horizontal="center"/>
    </xf>
    <xf numFmtId="1" fontId="1" fillId="0" borderId="1" xfId="0" applyNumberFormat="1" applyFont="1" applyFill="1" applyBorder="1"/>
    <xf numFmtId="0" fontId="0" fillId="3" borderId="12" xfId="0" applyFill="1" applyBorder="1"/>
    <xf numFmtId="0" fontId="0" fillId="3" borderId="9" xfId="0" applyFill="1" applyBorder="1"/>
    <xf numFmtId="1" fontId="1" fillId="3" borderId="15" xfId="0" applyNumberFormat="1" applyFon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49" fontId="0" fillId="0" borderId="10" xfId="0" applyNumberFormat="1" applyFill="1" applyBorder="1"/>
    <xf numFmtId="1" fontId="0" fillId="0" borderId="1" xfId="0" applyNumberFormat="1" applyFill="1" applyBorder="1" applyAlignment="1">
      <alignment wrapText="1"/>
    </xf>
    <xf numFmtId="2" fontId="0" fillId="0" borderId="13" xfId="0" applyNumberFormat="1" applyFill="1" applyBorder="1"/>
    <xf numFmtId="2" fontId="0" fillId="0" borderId="14" xfId="0" applyNumberFormat="1" applyFill="1" applyBorder="1"/>
    <xf numFmtId="2" fontId="0" fillId="0" borderId="15" xfId="0" applyNumberFormat="1" applyFill="1" applyBorder="1"/>
    <xf numFmtId="2" fontId="0" fillId="0" borderId="0" xfId="0" applyNumberFormat="1"/>
    <xf numFmtId="0" fontId="4" fillId="4" borderId="0" xfId="0" applyFont="1" applyFill="1"/>
    <xf numFmtId="0" fontId="0" fillId="5" borderId="17" xfId="0" applyFill="1" applyBorder="1"/>
    <xf numFmtId="0" fontId="0" fillId="0" borderId="24" xfId="0" applyBorder="1"/>
    <xf numFmtId="4" fontId="5" fillId="5" borderId="18" xfId="0" applyNumberFormat="1" applyFont="1" applyFill="1" applyBorder="1"/>
    <xf numFmtId="0" fontId="5" fillId="0" borderId="0" xfId="0" applyFont="1"/>
    <xf numFmtId="0" fontId="6" fillId="0" borderId="0" xfId="0" applyFont="1"/>
    <xf numFmtId="0" fontId="5" fillId="7" borderId="0" xfId="0" applyFont="1" applyFill="1" applyBorder="1" applyAlignment="1">
      <alignment horizontal="center"/>
    </xf>
    <xf numFmtId="4" fontId="5" fillId="7" borderId="0" xfId="0" applyNumberFormat="1" applyFont="1" applyFill="1" applyBorder="1" applyAlignment="1">
      <alignment horizontal="center"/>
    </xf>
    <xf numFmtId="0" fontId="4" fillId="2" borderId="19" xfId="0" applyFont="1" applyFill="1" applyBorder="1" applyAlignment="1" applyProtection="1">
      <alignment horizontal="center" vertical="center"/>
      <protection locked="0"/>
    </xf>
    <xf numFmtId="0" fontId="4" fillId="2" borderId="20" xfId="0" applyFont="1" applyFill="1" applyBorder="1" applyAlignment="1" applyProtection="1">
      <alignment horizontal="center" vertical="center"/>
      <protection locked="0"/>
    </xf>
    <xf numFmtId="0" fontId="5" fillId="7" borderId="0" xfId="0" applyFont="1" applyFill="1" applyBorder="1" applyAlignment="1">
      <alignment horizontal="center" vertical="center" wrapText="1"/>
    </xf>
    <xf numFmtId="4" fontId="8" fillId="3" borderId="12" xfId="0" applyNumberFormat="1" applyFont="1" applyFill="1" applyBorder="1" applyAlignment="1">
      <alignment horizontal="center"/>
    </xf>
    <xf numFmtId="0" fontId="5" fillId="2" borderId="11" xfId="0" applyFont="1" applyFill="1" applyBorder="1" applyAlignment="1" applyProtection="1">
      <alignment horizontal="center" vertical="center"/>
      <protection locked="0"/>
    </xf>
    <xf numFmtId="0" fontId="0" fillId="2" borderId="0" xfId="0" applyFill="1" applyBorder="1" applyAlignment="1" applyProtection="1">
      <alignment horizontal="center" vertical="center"/>
      <protection locked="0"/>
    </xf>
    <xf numFmtId="0" fontId="0" fillId="2" borderId="24" xfId="0" applyFill="1" applyBorder="1" applyAlignment="1" applyProtection="1">
      <alignment horizontal="center" vertical="center"/>
      <protection locked="0"/>
    </xf>
    <xf numFmtId="0" fontId="0" fillId="0" borderId="11" xfId="0" applyBorder="1" applyAlignment="1">
      <alignment horizontal="left" vertical="center"/>
    </xf>
    <xf numFmtId="0" fontId="0" fillId="0" borderId="11" xfId="0" applyBorder="1" applyAlignment="1">
      <alignment horizontal="right" vertical="center"/>
    </xf>
    <xf numFmtId="0" fontId="0" fillId="6" borderId="0" xfId="0" applyFill="1" applyBorder="1" applyAlignment="1" applyProtection="1">
      <alignment wrapText="1"/>
      <protection locked="0"/>
    </xf>
    <xf numFmtId="0" fontId="0" fillId="6" borderId="24" xfId="0" applyFill="1" applyBorder="1" applyAlignment="1" applyProtection="1">
      <alignment wrapText="1"/>
      <protection locked="0"/>
    </xf>
    <xf numFmtId="0" fontId="9" fillId="0" borderId="0" xfId="0" applyFont="1"/>
    <xf numFmtId="0" fontId="5" fillId="2" borderId="0" xfId="0" applyFont="1" applyFill="1" applyProtection="1"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right" vertical="center"/>
    </xf>
    <xf numFmtId="0" fontId="0" fillId="0" borderId="24" xfId="0" applyFill="1" applyBorder="1" applyAlignment="1">
      <alignment horizontal="right" vertical="center"/>
    </xf>
    <xf numFmtId="8" fontId="4" fillId="0" borderId="0" xfId="0" applyNumberFormat="1" applyFont="1" applyFill="1" applyBorder="1" applyAlignment="1" applyProtection="1">
      <alignment horizontal="center" vertical="center"/>
      <protection locked="0"/>
    </xf>
    <xf numFmtId="0" fontId="0" fillId="2" borderId="0" xfId="0" applyFill="1" applyProtection="1">
      <protection locked="0"/>
    </xf>
    <xf numFmtId="4" fontId="11" fillId="3" borderId="12" xfId="0" applyNumberFormat="1" applyFont="1" applyFill="1" applyBorder="1" applyAlignment="1">
      <alignment horizontal="right"/>
    </xf>
    <xf numFmtId="4" fontId="5" fillId="3" borderId="12" xfId="0" applyNumberFormat="1" applyFont="1" applyFill="1" applyBorder="1" applyAlignment="1">
      <alignment horizontal="right"/>
    </xf>
    <xf numFmtId="0" fontId="0" fillId="0" borderId="21" xfId="0" applyBorder="1" applyAlignment="1">
      <alignment horizontal="left" vertical="center"/>
    </xf>
    <xf numFmtId="0" fontId="0" fillId="0" borderId="21" xfId="0" applyFill="1" applyBorder="1" applyAlignment="1">
      <alignment horizontal="left" vertical="center"/>
    </xf>
    <xf numFmtId="0" fontId="0" fillId="0" borderId="23" xfId="0" applyFill="1" applyBorder="1" applyAlignment="1">
      <alignment horizontal="left" vertical="center"/>
    </xf>
    <xf numFmtId="6" fontId="12" fillId="0" borderId="22" xfId="0" applyNumberFormat="1" applyFont="1" applyFill="1" applyBorder="1" applyAlignment="1" applyProtection="1">
      <alignment horizontal="center" vertical="center"/>
      <protection locked="0"/>
    </xf>
    <xf numFmtId="0" fontId="12" fillId="0" borderId="22" xfId="0" applyFont="1" applyFill="1" applyBorder="1" applyAlignment="1" applyProtection="1">
      <alignment horizontal="center" vertical="center"/>
      <protection locked="0"/>
    </xf>
    <xf numFmtId="8" fontId="12" fillId="0" borderId="22" xfId="0" applyNumberFormat="1" applyFont="1" applyFill="1" applyBorder="1" applyAlignment="1" applyProtection="1">
      <alignment horizontal="center" vertical="center"/>
      <protection locked="0"/>
    </xf>
    <xf numFmtId="0" fontId="0" fillId="0" borderId="11" xfId="0" applyFill="1" applyBorder="1" applyAlignment="1">
      <alignment horizontal="right" vertical="center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/>
    <xf numFmtId="0" fontId="7" fillId="0" borderId="11" xfId="0" applyFont="1" applyFill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0" fillId="0" borderId="3" xfId="0" applyFill="1" applyBorder="1" applyAlignment="1">
      <alignment horizontal="right" vertical="center"/>
    </xf>
    <xf numFmtId="0" fontId="5" fillId="0" borderId="11" xfId="0" applyFont="1" applyBorder="1" applyAlignment="1" applyProtection="1">
      <alignment wrapText="1"/>
      <protection locked="0"/>
    </xf>
    <xf numFmtId="0" fontId="5" fillId="0" borderId="11" xfId="0" applyFont="1" applyBorder="1"/>
    <xf numFmtId="0" fontId="0" fillId="0" borderId="11" xfId="0" applyBorder="1" applyProtection="1">
      <protection locked="0"/>
    </xf>
    <xf numFmtId="0" fontId="4" fillId="2" borderId="12" xfId="0" applyFont="1" applyFill="1" applyBorder="1" applyAlignment="1" applyProtection="1">
      <alignment horizontal="center"/>
      <protection locked="0"/>
    </xf>
    <xf numFmtId="4" fontId="11" fillId="3" borderId="10" xfId="0" applyNumberFormat="1" applyFont="1" applyFill="1" applyBorder="1" applyAlignment="1">
      <alignment horizontal="center"/>
    </xf>
    <xf numFmtId="6" fontId="0" fillId="2" borderId="0" xfId="0" applyNumberFormat="1" applyFill="1" applyBorder="1" applyAlignment="1" applyProtection="1">
      <alignment horizontal="right" vertical="center"/>
      <protection locked="0"/>
    </xf>
    <xf numFmtId="0" fontId="0" fillId="2" borderId="0" xfId="0" applyFill="1" applyBorder="1" applyAlignment="1" applyProtection="1">
      <alignment horizontal="right" vertical="center"/>
      <protection locked="0"/>
    </xf>
    <xf numFmtId="0" fontId="0" fillId="2" borderId="0" xfId="0" applyFill="1" applyBorder="1" applyProtection="1">
      <protection locked="0"/>
    </xf>
    <xf numFmtId="0" fontId="0" fillId="2" borderId="3" xfId="0" applyFill="1" applyBorder="1" applyProtection="1">
      <protection locked="0"/>
    </xf>
    <xf numFmtId="6" fontId="0" fillId="2" borderId="11" xfId="0" applyNumberFormat="1" applyFill="1" applyBorder="1" applyProtection="1">
      <protection locked="0"/>
    </xf>
    <xf numFmtId="0" fontId="0" fillId="0" borderId="21" xfId="0" applyFill="1" applyBorder="1"/>
    <xf numFmtId="0" fontId="0" fillId="2" borderId="28" xfId="0" applyFill="1" applyBorder="1" applyProtection="1">
      <protection locked="0"/>
    </xf>
    <xf numFmtId="0" fontId="0" fillId="2" borderId="27" xfId="0" applyFill="1" applyBorder="1" applyProtection="1">
      <protection locked="0"/>
    </xf>
    <xf numFmtId="0" fontId="6" fillId="0" borderId="26" xfId="0" applyFont="1" applyFill="1" applyBorder="1" applyAlignment="1" applyProtection="1">
      <alignment horizontal="center"/>
      <protection locked="0"/>
    </xf>
    <xf numFmtId="0" fontId="6" fillId="0" borderId="10" xfId="0" applyFont="1" applyFill="1" applyBorder="1" applyAlignment="1" applyProtection="1">
      <alignment horizontal="center" vertical="center"/>
      <protection locked="0"/>
    </xf>
    <xf numFmtId="8" fontId="5" fillId="0" borderId="4" xfId="0" applyNumberFormat="1" applyFont="1" applyFill="1" applyBorder="1" applyAlignment="1" applyProtection="1">
      <alignment horizontal="center" vertical="center"/>
      <protection locked="0"/>
    </xf>
    <xf numFmtId="8" fontId="5" fillId="0" borderId="25" xfId="0" applyNumberFormat="1" applyFont="1" applyFill="1" applyBorder="1" applyAlignment="1" applyProtection="1">
      <alignment horizontal="center" vertical="center"/>
      <protection locked="0"/>
    </xf>
    <xf numFmtId="8" fontId="7" fillId="3" borderId="12" xfId="0" applyNumberFormat="1" applyFont="1" applyFill="1" applyBorder="1" applyAlignment="1">
      <alignment horizontal="center"/>
    </xf>
    <xf numFmtId="8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Protection="1">
      <protection locked="0"/>
    </xf>
    <xf numFmtId="0" fontId="1" fillId="4" borderId="10" xfId="0" applyFont="1" applyFill="1" applyBorder="1"/>
    <xf numFmtId="0" fontId="10" fillId="0" borderId="7" xfId="0" applyFont="1" applyBorder="1"/>
    <xf numFmtId="0" fontId="0" fillId="2" borderId="15" xfId="0" applyFill="1" applyBorder="1" applyProtection="1">
      <protection locked="0"/>
    </xf>
    <xf numFmtId="0" fontId="0" fillId="0" borderId="15" xfId="0" applyFill="1" applyBorder="1" applyProtection="1"/>
    <xf numFmtId="0" fontId="0" fillId="4" borderId="11" xfId="0" applyFont="1" applyFill="1" applyBorder="1"/>
    <xf numFmtId="0" fontId="0" fillId="4" borderId="10" xfId="0" applyFont="1" applyFill="1" applyBorder="1"/>
    <xf numFmtId="0" fontId="0" fillId="5" borderId="0" xfId="0" applyFill="1"/>
    <xf numFmtId="0" fontId="13" fillId="5" borderId="0" xfId="0" applyFont="1" applyFill="1"/>
    <xf numFmtId="0" fontId="0" fillId="0" borderId="35" xfId="0" applyBorder="1" applyAlignment="1">
      <alignment horizontal="center" vertical="center"/>
    </xf>
    <xf numFmtId="2" fontId="0" fillId="0" borderId="31" xfId="0" applyNumberFormat="1" applyBorder="1" applyAlignment="1"/>
    <xf numFmtId="0" fontId="0" fillId="0" borderId="35" xfId="0" applyBorder="1" applyAlignment="1"/>
    <xf numFmtId="0" fontId="0" fillId="0" borderId="29" xfId="0" applyBorder="1" applyAlignment="1">
      <alignment horizontal="center" vertical="center"/>
    </xf>
    <xf numFmtId="0" fontId="0" fillId="0" borderId="29" xfId="0" applyBorder="1" applyAlignment="1">
      <alignment horizontal="center" vertical="center" wrapText="1"/>
    </xf>
    <xf numFmtId="165" fontId="0" fillId="0" borderId="44" xfId="0" applyNumberFormat="1" applyBorder="1"/>
    <xf numFmtId="0" fontId="0" fillId="0" borderId="0" xfId="0" applyFill="1" applyBorder="1" applyAlignment="1">
      <alignment wrapText="1"/>
    </xf>
    <xf numFmtId="2" fontId="0" fillId="0" borderId="45" xfId="0" applyNumberFormat="1" applyBorder="1"/>
    <xf numFmtId="0" fontId="0" fillId="0" borderId="47" xfId="0" applyBorder="1"/>
    <xf numFmtId="2" fontId="0" fillId="0" borderId="48" xfId="0" applyNumberFormat="1" applyBorder="1"/>
    <xf numFmtId="0" fontId="0" fillId="0" borderId="49" xfId="0" applyBorder="1"/>
    <xf numFmtId="0" fontId="0" fillId="0" borderId="48" xfId="0" applyBorder="1"/>
    <xf numFmtId="0" fontId="0" fillId="0" borderId="50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0" xfId="0" applyFill="1"/>
    <xf numFmtId="0" fontId="0" fillId="0" borderId="49" xfId="0" applyFill="1" applyBorder="1"/>
    <xf numFmtId="0" fontId="0" fillId="0" borderId="48" xfId="0" applyFill="1" applyBorder="1"/>
    <xf numFmtId="2" fontId="0" fillId="0" borderId="48" xfId="0" applyNumberFormat="1" applyFill="1" applyBorder="1"/>
    <xf numFmtId="0" fontId="0" fillId="0" borderId="46" xfId="0" applyFill="1" applyBorder="1"/>
    <xf numFmtId="2" fontId="0" fillId="0" borderId="45" xfId="0" applyNumberFormat="1" applyFill="1" applyBorder="1"/>
    <xf numFmtId="0" fontId="4" fillId="0" borderId="0" xfId="0" applyFont="1"/>
    <xf numFmtId="0" fontId="6" fillId="0" borderId="29" xfId="0" applyFont="1" applyBorder="1" applyAlignment="1">
      <alignment horizontal="center" vertical="center" wrapText="1"/>
    </xf>
    <xf numFmtId="0" fontId="0" fillId="0" borderId="0" xfId="0" applyFill="1"/>
    <xf numFmtId="165" fontId="0" fillId="0" borderId="52" xfId="0" applyNumberFormat="1" applyBorder="1"/>
    <xf numFmtId="165" fontId="0" fillId="0" borderId="13" xfId="0" applyNumberFormat="1" applyFill="1" applyBorder="1"/>
    <xf numFmtId="165" fontId="4" fillId="0" borderId="13" xfId="0" applyNumberFormat="1" applyFont="1" applyBorder="1"/>
    <xf numFmtId="0" fontId="6" fillId="0" borderId="26" xfId="0" applyFont="1" applyFill="1" applyBorder="1"/>
    <xf numFmtId="0" fontId="0" fillId="0" borderId="53" xfId="0" applyBorder="1"/>
    <xf numFmtId="0" fontId="0" fillId="0" borderId="54" xfId="0" applyBorder="1"/>
    <xf numFmtId="0" fontId="0" fillId="0" borderId="21" xfId="0" applyBorder="1"/>
    <xf numFmtId="0" fontId="5" fillId="0" borderId="23" xfId="0" applyFont="1" applyBorder="1"/>
    <xf numFmtId="0" fontId="5" fillId="0" borderId="24" xfId="0" applyFont="1" applyBorder="1"/>
    <xf numFmtId="0" fontId="5" fillId="0" borderId="25" xfId="0" applyFont="1" applyBorder="1"/>
    <xf numFmtId="165" fontId="0" fillId="0" borderId="13" xfId="0" applyNumberFormat="1" applyBorder="1"/>
    <xf numFmtId="165" fontId="0" fillId="0" borderId="0" xfId="0" applyNumberFormat="1" applyBorder="1"/>
    <xf numFmtId="0" fontId="5" fillId="0" borderId="10" xfId="0" applyFont="1" applyBorder="1"/>
    <xf numFmtId="165" fontId="5" fillId="0" borderId="1" xfId="0" applyNumberFormat="1" applyFont="1" applyBorder="1"/>
    <xf numFmtId="4" fontId="11" fillId="3" borderId="11" xfId="0" applyNumberFormat="1" applyFont="1" applyFill="1" applyBorder="1" applyAlignment="1">
      <alignment horizontal="center"/>
    </xf>
    <xf numFmtId="9" fontId="0" fillId="2" borderId="49" xfId="0" applyNumberFormat="1" applyFill="1" applyBorder="1" applyProtection="1">
      <protection locked="0"/>
    </xf>
    <xf numFmtId="0" fontId="0" fillId="2" borderId="22" xfId="0" applyFill="1" applyBorder="1" applyProtection="1">
      <protection locked="0"/>
    </xf>
    <xf numFmtId="0" fontId="0" fillId="2" borderId="14" xfId="0" applyFill="1" applyBorder="1" applyProtection="1">
      <protection locked="0"/>
    </xf>
    <xf numFmtId="0" fontId="0" fillId="2" borderId="6" xfId="0" applyFill="1" applyBorder="1" applyProtection="1">
      <protection locked="0"/>
    </xf>
    <xf numFmtId="0" fontId="0" fillId="2" borderId="9" xfId="0" applyFill="1" applyBorder="1" applyProtection="1">
      <protection locked="0"/>
    </xf>
    <xf numFmtId="0" fontId="0" fillId="2" borderId="7" xfId="0" applyFill="1" applyBorder="1" applyProtection="1">
      <protection locked="0"/>
    </xf>
    <xf numFmtId="0" fontId="0" fillId="2" borderId="8" xfId="0" applyFill="1" applyBorder="1" applyProtection="1">
      <protection locked="0"/>
    </xf>
    <xf numFmtId="0" fontId="0" fillId="2" borderId="2" xfId="0" applyFill="1" applyBorder="1" applyProtection="1">
      <protection locked="0"/>
    </xf>
    <xf numFmtId="0" fontId="0" fillId="2" borderId="5" xfId="0" applyFill="1" applyBorder="1" applyProtection="1">
      <protection locked="0"/>
    </xf>
    <xf numFmtId="0" fontId="0" fillId="0" borderId="55" xfId="0" applyBorder="1"/>
    <xf numFmtId="0" fontId="0" fillId="2" borderId="21" xfId="0" applyFill="1" applyBorder="1" applyProtection="1">
      <protection locked="0"/>
    </xf>
    <xf numFmtId="0" fontId="0" fillId="2" borderId="56" xfId="0" applyFill="1" applyBorder="1" applyProtection="1">
      <protection locked="0"/>
    </xf>
    <xf numFmtId="0" fontId="0" fillId="0" borderId="19" xfId="0" applyBorder="1"/>
    <xf numFmtId="0" fontId="5" fillId="0" borderId="19" xfId="0" applyFont="1" applyBorder="1"/>
    <xf numFmtId="0" fontId="0" fillId="0" borderId="56" xfId="0" applyBorder="1"/>
    <xf numFmtId="0" fontId="0" fillId="0" borderId="0" xfId="0" applyAlignment="1">
      <alignment wrapText="1"/>
    </xf>
    <xf numFmtId="0" fontId="7" fillId="0" borderId="0" xfId="0" applyFont="1"/>
    <xf numFmtId="0" fontId="0" fillId="0" borderId="1" xfId="0" applyFill="1" applyBorder="1" applyProtection="1"/>
    <xf numFmtId="0" fontId="0" fillId="10" borderId="21" xfId="0" applyFill="1" applyBorder="1"/>
    <xf numFmtId="0" fontId="0" fillId="6" borderId="21" xfId="0" applyFill="1" applyBorder="1"/>
    <xf numFmtId="0" fontId="0" fillId="11" borderId="21" xfId="0" applyFill="1" applyBorder="1"/>
    <xf numFmtId="0" fontId="0" fillId="8" borderId="21" xfId="0" applyFill="1" applyBorder="1"/>
    <xf numFmtId="0" fontId="0" fillId="9" borderId="21" xfId="0" applyFill="1" applyBorder="1"/>
    <xf numFmtId="0" fontId="0" fillId="7" borderId="21" xfId="0" applyFill="1" applyBorder="1"/>
    <xf numFmtId="0" fontId="0" fillId="0" borderId="16" xfId="0" applyBorder="1"/>
    <xf numFmtId="0" fontId="0" fillId="0" borderId="17" xfId="0" applyBorder="1"/>
    <xf numFmtId="0" fontId="0" fillId="0" borderId="17" xfId="0" applyBorder="1" applyAlignment="1">
      <alignment wrapText="1"/>
    </xf>
    <xf numFmtId="0" fontId="0" fillId="0" borderId="18" xfId="0" applyBorder="1" applyAlignment="1">
      <alignment wrapText="1"/>
    </xf>
    <xf numFmtId="0" fontId="4" fillId="0" borderId="57" xfId="0" applyFont="1" applyBorder="1"/>
    <xf numFmtId="0" fontId="4" fillId="0" borderId="58" xfId="0" applyFont="1" applyBorder="1"/>
    <xf numFmtId="165" fontId="0" fillId="2" borderId="0" xfId="0" applyNumberFormat="1" applyFill="1" applyBorder="1" applyProtection="1">
      <protection locked="0"/>
    </xf>
    <xf numFmtId="165" fontId="4" fillId="0" borderId="58" xfId="0" applyNumberFormat="1" applyFont="1" applyBorder="1"/>
    <xf numFmtId="0" fontId="7" fillId="0" borderId="60" xfId="0" applyFont="1" applyBorder="1"/>
    <xf numFmtId="0" fontId="7" fillId="0" borderId="61" xfId="0" applyFont="1" applyBorder="1"/>
    <xf numFmtId="0" fontId="7" fillId="0" borderId="62" xfId="0" applyFont="1" applyBorder="1"/>
    <xf numFmtId="0" fontId="0" fillId="0" borderId="29" xfId="0" applyBorder="1"/>
    <xf numFmtId="0" fontId="0" fillId="0" borderId="29" xfId="0" applyBorder="1" applyAlignment="1">
      <alignment horizontal="left"/>
    </xf>
    <xf numFmtId="0" fontId="14" fillId="12" borderId="29" xfId="0" applyFont="1" applyFill="1" applyBorder="1" applyAlignment="1">
      <alignment horizontal="center" vertical="center"/>
    </xf>
    <xf numFmtId="0" fontId="15" fillId="12" borderId="29" xfId="0" applyFont="1" applyFill="1" applyBorder="1" applyAlignment="1">
      <alignment horizontal="center" vertical="center"/>
    </xf>
    <xf numFmtId="0" fontId="0" fillId="0" borderId="29" xfId="0" applyBorder="1" applyAlignment="1">
      <alignment horizontal="right" vertical="center"/>
    </xf>
    <xf numFmtId="10" fontId="0" fillId="0" borderId="29" xfId="0" applyNumberFormat="1" applyBorder="1" applyAlignment="1">
      <alignment horizontal="center" vertical="center"/>
    </xf>
    <xf numFmtId="0" fontId="0" fillId="13" borderId="29" xfId="0" applyFill="1" applyBorder="1" applyAlignment="1">
      <alignment horizontal="center" vertical="center"/>
    </xf>
    <xf numFmtId="166" fontId="16" fillId="0" borderId="29" xfId="0" applyNumberFormat="1" applyFont="1" applyBorder="1" applyAlignment="1">
      <alignment horizontal="center" vertical="center"/>
    </xf>
    <xf numFmtId="1" fontId="1" fillId="0" borderId="9" xfId="0" applyNumberFormat="1" applyFont="1" applyFill="1" applyBorder="1"/>
    <xf numFmtId="1" fontId="0" fillId="0" borderId="1" xfId="0" applyNumberFormat="1" applyBorder="1"/>
    <xf numFmtId="1" fontId="0" fillId="3" borderId="1" xfId="0" applyNumberFormat="1" applyFill="1" applyBorder="1" applyAlignment="1">
      <alignment horizontal="center"/>
    </xf>
    <xf numFmtId="2" fontId="0" fillId="0" borderId="35" xfId="0" applyNumberFormat="1" applyBorder="1" applyAlignment="1">
      <alignment vertical="center"/>
    </xf>
    <xf numFmtId="0" fontId="0" fillId="0" borderId="39" xfId="0" applyBorder="1" applyAlignment="1"/>
    <xf numFmtId="2" fontId="0" fillId="0" borderId="40" xfId="0" applyNumberFormat="1" applyBorder="1" applyAlignment="1"/>
    <xf numFmtId="0" fontId="14" fillId="2" borderId="38" xfId="0" applyFont="1" applyFill="1" applyBorder="1" applyAlignment="1" applyProtection="1">
      <alignment horizontal="center"/>
      <protection locked="0"/>
    </xf>
    <xf numFmtId="0" fontId="14" fillId="2" borderId="29" xfId="0" applyFont="1" applyFill="1" applyBorder="1" applyAlignment="1" applyProtection="1">
      <alignment horizontal="center"/>
      <protection locked="0"/>
    </xf>
    <xf numFmtId="2" fontId="14" fillId="0" borderId="29" xfId="0" applyNumberFormat="1" applyFont="1" applyBorder="1" applyAlignment="1">
      <alignment horizontal="center"/>
    </xf>
    <xf numFmtId="0" fontId="0" fillId="4" borderId="0" xfId="0" applyFont="1" applyFill="1" applyBorder="1"/>
    <xf numFmtId="1" fontId="6" fillId="0" borderId="29" xfId="0" applyNumberFormat="1" applyFont="1" applyBorder="1" applyAlignment="1">
      <alignment horizontal="center"/>
    </xf>
    <xf numFmtId="0" fontId="0" fillId="0" borderId="63" xfId="0" applyFont="1" applyFill="1" applyBorder="1"/>
    <xf numFmtId="167" fontId="0" fillId="0" borderId="0" xfId="0" applyNumberFormat="1" applyBorder="1"/>
    <xf numFmtId="167" fontId="1" fillId="0" borderId="22" xfId="0" applyNumberFormat="1" applyFont="1" applyBorder="1"/>
    <xf numFmtId="167" fontId="4" fillId="0" borderId="59" xfId="0" applyNumberFormat="1" applyFont="1" applyBorder="1"/>
    <xf numFmtId="1" fontId="7" fillId="0" borderId="61" xfId="0" applyNumberFormat="1" applyFont="1" applyBorder="1"/>
    <xf numFmtId="164" fontId="0" fillId="0" borderId="0" xfId="0" applyNumberFormat="1" applyFill="1"/>
    <xf numFmtId="0" fontId="1" fillId="2" borderId="29" xfId="0" applyFont="1" applyFill="1" applyBorder="1" applyAlignment="1" applyProtection="1">
      <alignment horizontal="center"/>
      <protection locked="0"/>
    </xf>
    <xf numFmtId="0" fontId="1" fillId="2" borderId="29" xfId="0" applyFont="1" applyFill="1" applyBorder="1" applyProtection="1">
      <protection locked="0"/>
    </xf>
    <xf numFmtId="0" fontId="1" fillId="2" borderId="33" xfId="0" applyFont="1" applyFill="1" applyBorder="1" applyAlignment="1" applyProtection="1">
      <alignment horizontal="center"/>
      <protection locked="0"/>
    </xf>
    <xf numFmtId="0" fontId="1" fillId="2" borderId="34" xfId="0" applyFont="1" applyFill="1" applyBorder="1" applyAlignment="1" applyProtection="1">
      <alignment horizontal="center"/>
      <protection locked="0"/>
    </xf>
    <xf numFmtId="0" fontId="0" fillId="2" borderId="42" xfId="0" applyFill="1" applyBorder="1" applyProtection="1">
      <protection locked="0"/>
    </xf>
    <xf numFmtId="0" fontId="17" fillId="2" borderId="42" xfId="0" applyFont="1" applyFill="1" applyBorder="1" applyProtection="1">
      <protection locked="0"/>
    </xf>
    <xf numFmtId="0" fontId="0" fillId="2" borderId="31" xfId="0" applyFill="1" applyBorder="1" applyAlignment="1" applyProtection="1">
      <protection locked="0"/>
    </xf>
    <xf numFmtId="0" fontId="0" fillId="2" borderId="31" xfId="0" applyFill="1" applyBorder="1" applyProtection="1">
      <protection locked="0"/>
    </xf>
    <xf numFmtId="0" fontId="17" fillId="2" borderId="31" xfId="0" applyFont="1" applyFill="1" applyBorder="1" applyProtection="1">
      <protection locked="0"/>
    </xf>
    <xf numFmtId="0" fontId="0" fillId="2" borderId="40" xfId="0" applyFill="1" applyBorder="1" applyAlignment="1" applyProtection="1">
      <protection locked="0"/>
    </xf>
    <xf numFmtId="0" fontId="0" fillId="2" borderId="29" xfId="0" applyFill="1" applyBorder="1" applyProtection="1">
      <protection locked="0"/>
    </xf>
    <xf numFmtId="0" fontId="0" fillId="2" borderId="1" xfId="0" applyFill="1" applyBorder="1" applyProtection="1">
      <protection locked="0"/>
    </xf>
    <xf numFmtId="0" fontId="0" fillId="2" borderId="13" xfId="0" applyFill="1" applyBorder="1" applyProtection="1">
      <protection locked="0"/>
    </xf>
    <xf numFmtId="0" fontId="0" fillId="0" borderId="13" xfId="0" applyBorder="1" applyProtection="1">
      <protection locked="0"/>
    </xf>
    <xf numFmtId="1" fontId="0" fillId="2" borderId="14" xfId="0" applyNumberFormat="1" applyFill="1" applyBorder="1" applyAlignment="1" applyProtection="1">
      <alignment wrapText="1"/>
      <protection locked="0"/>
    </xf>
    <xf numFmtId="0" fontId="0" fillId="0" borderId="3" xfId="0" applyFill="1" applyBorder="1" applyAlignment="1" applyProtection="1">
      <alignment vertical="center" wrapText="1"/>
      <protection locked="0"/>
    </xf>
    <xf numFmtId="0" fontId="0" fillId="0" borderId="4" xfId="0" applyFill="1" applyBorder="1" applyAlignment="1" applyProtection="1">
      <alignment vertical="center" wrapText="1"/>
      <protection locked="0"/>
    </xf>
    <xf numFmtId="0" fontId="0" fillId="0" borderId="3" xfId="0" applyBorder="1" applyAlignment="1" applyProtection="1">
      <alignment vertical="center" wrapText="1"/>
      <protection locked="0"/>
    </xf>
    <xf numFmtId="0" fontId="0" fillId="0" borderId="4" xfId="0" applyBorder="1" applyAlignment="1" applyProtection="1">
      <alignment vertical="center" wrapText="1"/>
      <protection locked="0"/>
    </xf>
    <xf numFmtId="0" fontId="0" fillId="2" borderId="38" xfId="0" applyFont="1" applyFill="1" applyBorder="1" applyAlignment="1" applyProtection="1">
      <alignment horizontal="center"/>
      <protection locked="0"/>
    </xf>
    <xf numFmtId="0" fontId="0" fillId="2" borderId="29" xfId="0" applyFill="1" applyBorder="1" applyAlignment="1" applyProtection="1">
      <alignment horizontal="center" vertical="center"/>
      <protection locked="0"/>
    </xf>
    <xf numFmtId="0" fontId="0" fillId="0" borderId="38" xfId="0" applyBorder="1"/>
    <xf numFmtId="0" fontId="0" fillId="2" borderId="41" xfId="0" applyFill="1" applyBorder="1" applyProtection="1">
      <protection locked="0"/>
    </xf>
    <xf numFmtId="0" fontId="0" fillId="5" borderId="0" xfId="0" applyFont="1" applyFill="1"/>
    <xf numFmtId="0" fontId="0" fillId="5" borderId="0" xfId="0" applyFill="1" applyBorder="1"/>
    <xf numFmtId="0" fontId="0" fillId="14" borderId="0" xfId="0" applyFill="1" applyBorder="1"/>
    <xf numFmtId="0" fontId="18" fillId="5" borderId="0" xfId="0" applyFont="1" applyFill="1"/>
    <xf numFmtId="0" fontId="20" fillId="0" borderId="0" xfId="1" applyFont="1"/>
    <xf numFmtId="0" fontId="0" fillId="2" borderId="1" xfId="0" applyFill="1" applyBorder="1" applyAlignment="1" applyProtection="1">
      <alignment wrapText="1"/>
      <protection locked="0"/>
    </xf>
    <xf numFmtId="0" fontId="0" fillId="2" borderId="13" xfId="0" applyFill="1" applyBorder="1" applyAlignment="1" applyProtection="1">
      <alignment wrapText="1"/>
      <protection locked="0"/>
    </xf>
    <xf numFmtId="1" fontId="0" fillId="2" borderId="13" xfId="0" applyNumberFormat="1" applyFill="1" applyBorder="1" applyAlignment="1" applyProtection="1">
      <alignment wrapText="1"/>
      <protection locked="0"/>
    </xf>
    <xf numFmtId="1" fontId="0" fillId="2" borderId="1" xfId="0" applyNumberFormat="1" applyFill="1" applyBorder="1" applyAlignment="1" applyProtection="1">
      <alignment wrapText="1"/>
      <protection locked="0"/>
    </xf>
    <xf numFmtId="165" fontId="1" fillId="0" borderId="22" xfId="0" applyNumberFormat="1" applyFont="1" applyBorder="1"/>
    <xf numFmtId="165" fontId="1" fillId="2" borderId="22" xfId="0" applyNumberFormat="1" applyFont="1" applyFill="1" applyBorder="1" applyProtection="1">
      <protection locked="0"/>
    </xf>
    <xf numFmtId="2" fontId="0" fillId="0" borderId="0" xfId="0" applyNumberFormat="1" applyBorder="1"/>
    <xf numFmtId="0" fontId="6" fillId="0" borderId="10" xfId="0" applyFont="1" applyFill="1" applyBorder="1"/>
    <xf numFmtId="0" fontId="6" fillId="0" borderId="11" xfId="0" applyFont="1" applyBorder="1"/>
    <xf numFmtId="0" fontId="6" fillId="0" borderId="12" xfId="0" applyFont="1" applyBorder="1"/>
    <xf numFmtId="0" fontId="6" fillId="0" borderId="3" xfId="0" applyFont="1" applyBorder="1"/>
    <xf numFmtId="0" fontId="0" fillId="0" borderId="14" xfId="0" applyFill="1" applyBorder="1" applyProtection="1"/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0" fillId="2" borderId="1" xfId="0" applyFill="1" applyBorder="1" applyAlignment="1" applyProtection="1">
      <alignment horizontal="center"/>
      <protection locked="0"/>
    </xf>
    <xf numFmtId="0" fontId="0" fillId="0" borderId="13" xfId="0" applyFill="1" applyBorder="1" applyAlignment="1" applyProtection="1">
      <alignment vertical="center" wrapText="1"/>
      <protection locked="0"/>
    </xf>
    <xf numFmtId="0" fontId="0" fillId="0" borderId="26" xfId="0" applyBorder="1"/>
    <xf numFmtId="0" fontId="4" fillId="2" borderId="21" xfId="0" applyFont="1" applyFill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0" fontId="4" fillId="2" borderId="22" xfId="0" applyFont="1" applyFill="1" applyBorder="1" applyAlignment="1" applyProtection="1">
      <alignment horizontal="center"/>
      <protection locked="0"/>
    </xf>
    <xf numFmtId="4" fontId="5" fillId="5" borderId="60" xfId="0" applyNumberFormat="1" applyFont="1" applyFill="1" applyBorder="1" applyAlignment="1">
      <alignment horizontal="center"/>
    </xf>
    <xf numFmtId="0" fontId="0" fillId="5" borderId="61" xfId="0" applyFill="1" applyBorder="1"/>
    <xf numFmtId="4" fontId="5" fillId="5" borderId="62" xfId="0" applyNumberFormat="1" applyFont="1" applyFill="1" applyBorder="1"/>
    <xf numFmtId="4" fontId="5" fillId="5" borderId="26" xfId="0" applyNumberFormat="1" applyFont="1" applyFill="1" applyBorder="1" applyAlignment="1">
      <alignment horizontal="center"/>
    </xf>
    <xf numFmtId="0" fontId="0" fillId="5" borderId="53" xfId="0" applyFill="1" applyBorder="1"/>
    <xf numFmtId="4" fontId="5" fillId="5" borderId="54" xfId="0" applyNumberFormat="1" applyFont="1" applyFill="1" applyBorder="1"/>
    <xf numFmtId="0" fontId="0" fillId="7" borderId="0" xfId="0" applyFill="1" applyBorder="1"/>
    <xf numFmtId="0" fontId="0" fillId="0" borderId="22" xfId="0" applyBorder="1"/>
    <xf numFmtId="0" fontId="8" fillId="0" borderId="21" xfId="0" applyFont="1" applyBorder="1" applyAlignment="1">
      <alignment horizontal="center"/>
    </xf>
    <xf numFmtId="0" fontId="8" fillId="2" borderId="0" xfId="0" applyFont="1" applyFill="1" applyBorder="1" applyAlignment="1" applyProtection="1">
      <alignment horizontal="center"/>
      <protection locked="0"/>
    </xf>
    <xf numFmtId="0" fontId="7" fillId="0" borderId="22" xfId="0" applyFont="1" applyBorder="1" applyAlignment="1">
      <alignment horizontal="center"/>
    </xf>
    <xf numFmtId="0" fontId="8" fillId="2" borderId="64" xfId="0" applyFont="1" applyFill="1" applyBorder="1" applyAlignment="1">
      <alignment horizontal="center"/>
    </xf>
    <xf numFmtId="0" fontId="8" fillId="2" borderId="65" xfId="0" applyFont="1" applyFill="1" applyBorder="1" applyAlignment="1" applyProtection="1">
      <alignment horizontal="center"/>
      <protection locked="0"/>
    </xf>
    <xf numFmtId="0" fontId="5" fillId="7" borderId="65" xfId="0" applyFont="1" applyFill="1" applyBorder="1" applyAlignment="1">
      <alignment horizontal="center" vertical="center" wrapText="1"/>
    </xf>
    <xf numFmtId="0" fontId="7" fillId="2" borderId="66" xfId="0" applyFont="1" applyFill="1" applyBorder="1" applyAlignment="1">
      <alignment horizontal="center"/>
    </xf>
    <xf numFmtId="4" fontId="11" fillId="3" borderId="7" xfId="0" applyNumberFormat="1" applyFont="1" applyFill="1" applyBorder="1" applyAlignment="1">
      <alignment horizontal="center"/>
    </xf>
    <xf numFmtId="4" fontId="5" fillId="3" borderId="9" xfId="0" applyNumberFormat="1" applyFont="1" applyFill="1" applyBorder="1" applyAlignment="1">
      <alignment horizontal="right"/>
    </xf>
    <xf numFmtId="4" fontId="8" fillId="3" borderId="9" xfId="0" applyNumberFormat="1" applyFont="1" applyFill="1" applyBorder="1" applyAlignment="1">
      <alignment horizontal="center"/>
    </xf>
    <xf numFmtId="4" fontId="0" fillId="0" borderId="10" xfId="0" applyNumberFormat="1" applyBorder="1"/>
    <xf numFmtId="4" fontId="0" fillId="0" borderId="12" xfId="0" applyNumberFormat="1" applyBorder="1"/>
    <xf numFmtId="0" fontId="11" fillId="5" borderId="0" xfId="0" applyFont="1" applyFill="1" applyAlignment="1"/>
    <xf numFmtId="0" fontId="0" fillId="5" borderId="0" xfId="0" applyFill="1" applyAlignment="1"/>
    <xf numFmtId="0" fontId="0" fillId="5" borderId="7" xfId="0" applyFill="1" applyBorder="1" applyAlignment="1"/>
    <xf numFmtId="0" fontId="0" fillId="5" borderId="8" xfId="0" applyFill="1" applyBorder="1" applyAlignment="1"/>
    <xf numFmtId="0" fontId="1" fillId="5" borderId="0" xfId="0" applyFont="1" applyFill="1" applyAlignment="1">
      <alignment horizontal="center" vertical="center" wrapText="1"/>
    </xf>
    <xf numFmtId="0" fontId="0" fillId="5" borderId="0" xfId="0" applyFill="1" applyAlignment="1">
      <alignment horizontal="right"/>
    </xf>
    <xf numFmtId="0" fontId="0" fillId="5" borderId="30" xfId="0" applyFill="1" applyBorder="1" applyAlignment="1">
      <alignment horizontal="right"/>
    </xf>
    <xf numFmtId="0" fontId="1" fillId="5" borderId="2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0" fillId="5" borderId="32" xfId="0" applyFill="1" applyBorder="1" applyAlignment="1"/>
    <xf numFmtId="0" fontId="0" fillId="5" borderId="31" xfId="0" applyFill="1" applyBorder="1" applyAlignment="1"/>
    <xf numFmtId="0" fontId="0" fillId="0" borderId="41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2" fontId="0" fillId="0" borderId="40" xfId="0" applyNumberFormat="1" applyBorder="1" applyAlignment="1">
      <alignment vertical="center"/>
    </xf>
    <xf numFmtId="2" fontId="0" fillId="0" borderId="37" xfId="0" applyNumberFormat="1" applyBorder="1" applyAlignment="1">
      <alignment vertical="center"/>
    </xf>
    <xf numFmtId="0" fontId="0" fillId="0" borderId="39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40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2" borderId="13" xfId="0" applyFill="1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4" borderId="10" xfId="0" applyFill="1" applyBorder="1" applyAlignment="1"/>
    <xf numFmtId="0" fontId="0" fillId="4" borderId="12" xfId="0" applyFill="1" applyBorder="1" applyAlignment="1"/>
    <xf numFmtId="4" fontId="0" fillId="0" borderId="21" xfId="0" applyNumberFormat="1" applyBorder="1" applyAlignment="1">
      <alignment horizontal="center" vertical="center"/>
    </xf>
    <xf numFmtId="4" fontId="0" fillId="0" borderId="23" xfId="0" applyNumberFormat="1" applyBorder="1" applyAlignment="1">
      <alignment horizontal="center" vertical="center"/>
    </xf>
    <xf numFmtId="4" fontId="0" fillId="0" borderId="22" xfId="0" applyNumberFormat="1" applyBorder="1" applyAlignment="1">
      <alignment horizontal="center" vertical="center"/>
    </xf>
    <xf numFmtId="4" fontId="0" fillId="0" borderId="25" xfId="0" applyNumberFormat="1" applyBorder="1" applyAlignment="1">
      <alignment horizontal="center" vertical="center"/>
    </xf>
    <xf numFmtId="0" fontId="6" fillId="0" borderId="31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2</xdr:row>
      <xdr:rowOff>52073</xdr:rowOff>
    </xdr:from>
    <xdr:to>
      <xdr:col>1</xdr:col>
      <xdr:colOff>571000</xdr:colOff>
      <xdr:row>4</xdr:row>
      <xdr:rowOff>93981</xdr:rowOff>
    </xdr:to>
    <xdr:pic>
      <xdr:nvPicPr>
        <xdr:cNvPr id="2" name="Image 1" descr="CDER_logo seul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3350" y="433073"/>
          <a:ext cx="1209175" cy="438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776483</xdr:colOff>
      <xdr:row>1</xdr:row>
      <xdr:rowOff>176212</xdr:rowOff>
    </xdr:from>
    <xdr:to>
      <xdr:col>3</xdr:col>
      <xdr:colOff>669168</xdr:colOff>
      <xdr:row>4</xdr:row>
      <xdr:rowOff>167962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8008" y="366712"/>
          <a:ext cx="2003425" cy="570870"/>
        </a:xfrm>
        <a:prstGeom prst="rect">
          <a:avLst/>
        </a:prstGeom>
      </xdr:spPr>
    </xdr:pic>
    <xdr:clientData/>
  </xdr:twoCellAnchor>
  <xdr:twoCellAnchor editAs="oneCell">
    <xdr:from>
      <xdr:col>4</xdr:col>
      <xdr:colOff>108841</xdr:colOff>
      <xdr:row>1</xdr:row>
      <xdr:rowOff>165211</xdr:rowOff>
    </xdr:from>
    <xdr:to>
      <xdr:col>5</xdr:col>
      <xdr:colOff>701297</xdr:colOff>
      <xdr:row>4</xdr:row>
      <xdr:rowOff>18944</xdr:rowOff>
    </xdr:to>
    <xdr:pic>
      <xdr:nvPicPr>
        <xdr:cNvPr id="4" name="Image 3" descr="Cérèsia : Accueil - Bienvenue sur le site web de la coopérative agricole  Cérèsia !">
          <a:extLst>
            <a:ext uri="{FF2B5EF4-FFF2-40B4-BE49-F238E27FC236}">
              <a16:creationId xmlns:a16="http://schemas.microsoft.com/office/drawing/2014/main" id="{9FE01DCD-6C87-4602-9817-1F5D99977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84" t="20253" r="10280" b="29747"/>
        <a:stretch/>
      </xdr:blipFill>
      <xdr:spPr bwMode="auto">
        <a:xfrm>
          <a:off x="3756916" y="355711"/>
          <a:ext cx="1371601" cy="440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714375</xdr:colOff>
      <xdr:row>0</xdr:row>
      <xdr:rowOff>43093</xdr:rowOff>
    </xdr:from>
    <xdr:to>
      <xdr:col>12</xdr:col>
      <xdr:colOff>19129</xdr:colOff>
      <xdr:row>5</xdr:row>
      <xdr:rowOff>243840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7C145D0-4457-4976-A9E9-1E8DED4BD2B1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2" t="41494" r="11873" b="35193"/>
        <a:stretch/>
      </xdr:blipFill>
      <xdr:spPr bwMode="auto">
        <a:xfrm>
          <a:off x="7448550" y="43093"/>
          <a:ext cx="2375614" cy="1147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581025</xdr:colOff>
      <xdr:row>49</xdr:row>
      <xdr:rowOff>104775</xdr:rowOff>
    </xdr:from>
    <xdr:to>
      <xdr:col>4</xdr:col>
      <xdr:colOff>285456</xdr:colOff>
      <xdr:row>58</xdr:row>
      <xdr:rowOff>170584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69A70B82-E7B4-4B4D-9CB5-2356B7E6A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57450" y="9791700"/>
          <a:ext cx="1476081" cy="1787929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2</xdr:row>
      <xdr:rowOff>114301</xdr:rowOff>
    </xdr:from>
    <xdr:to>
      <xdr:col>8</xdr:col>
      <xdr:colOff>321945</xdr:colOff>
      <xdr:row>4</xdr:row>
      <xdr:rowOff>54722</xdr:rowOff>
    </xdr:to>
    <xdr:pic>
      <xdr:nvPicPr>
        <xdr:cNvPr id="7" name="Image 6" descr="Accompagner la transition bas carbone de l'agriculture et des territoires">
          <a:extLst>
            <a:ext uri="{FF2B5EF4-FFF2-40B4-BE49-F238E27FC236}">
              <a16:creationId xmlns:a16="http://schemas.microsoft.com/office/drawing/2014/main" id="{1285A3A2-1CBF-436B-B06B-055C0C67C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495301"/>
          <a:ext cx="1685925" cy="311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750794</xdr:colOff>
      <xdr:row>17</xdr:row>
      <xdr:rowOff>44822</xdr:rowOff>
    </xdr:from>
    <xdr:to>
      <xdr:col>13</xdr:col>
      <xdr:colOff>549088</xdr:colOff>
      <xdr:row>28</xdr:row>
      <xdr:rowOff>123264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267E95BE-926B-40B7-8E40-0463A1D2AE07}"/>
            </a:ext>
          </a:extLst>
        </xdr:cNvPr>
        <xdr:cNvSpPr txBox="1"/>
      </xdr:nvSpPr>
      <xdr:spPr>
        <a:xfrm>
          <a:off x="6723529" y="3697940"/>
          <a:ext cx="4437530" cy="2196353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A</a:t>
          </a:r>
          <a:r>
            <a:rPr lang="fr-FR" sz="1100" baseline="0"/>
            <a:t> noter qu'en date du 31 mars 2022, le collectif CarbonThink préconise d'utiliser des </a:t>
          </a:r>
          <a:r>
            <a:rPr lang="fr-FR" sz="1100" b="1" baseline="0"/>
            <a:t>prix actuels </a:t>
          </a:r>
          <a:r>
            <a:rPr lang="fr-FR" sz="1100" baseline="0"/>
            <a:t>plutôt que des prix historiques moyens pour réaliser cette évaluation économique.</a:t>
          </a:r>
        </a:p>
        <a:p>
          <a:endParaRPr lang="fr-FR" sz="1100" baseline="0"/>
        </a:p>
        <a:p>
          <a:r>
            <a:rPr lang="fr-FR" sz="1100" baseline="0"/>
            <a:t>Concernant les charges de mécanisation, le choix est fait ici de recourir au </a:t>
          </a:r>
          <a:r>
            <a:rPr lang="fr-FR" sz="1100" b="1" baseline="0"/>
            <a:t>barème d'entraide </a:t>
          </a:r>
          <a:r>
            <a:rPr lang="fr-FR" sz="1100" baseline="0"/>
            <a:t>national 2021 évaluant le coût d'utilisation (et non d'achat) du matériel agricole, main d'oeuvre comprise.</a:t>
          </a:r>
        </a:p>
        <a:p>
          <a:endParaRPr lang="fr-FR" sz="1100" baseline="0"/>
        </a:p>
        <a:p>
          <a:r>
            <a:rPr lang="fr-FR" sz="1100"/>
            <a:t>Les coûts de production de certaines </a:t>
          </a:r>
          <a:r>
            <a:rPr lang="fr-FR" sz="1100" b="1"/>
            <a:t>cultures</a:t>
          </a:r>
          <a:r>
            <a:rPr lang="fr-FR" sz="1100"/>
            <a:t> sont en partie pré-renseignés sur la base de références Marne. Pour</a:t>
          </a:r>
          <a:r>
            <a:rPr lang="fr-FR" sz="1100" baseline="0"/>
            <a:t> adapter ces références à d'autres départements, il convient de recourir aux références du centre de gestion local.</a:t>
          </a:r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336176</xdr:colOff>
      <xdr:row>2</xdr:row>
      <xdr:rowOff>22412</xdr:rowOff>
    </xdr:from>
    <xdr:to>
      <xdr:col>18</xdr:col>
      <xdr:colOff>62229</xdr:colOff>
      <xdr:row>16</xdr:row>
      <xdr:rowOff>48635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55323" y="414618"/>
          <a:ext cx="4298053" cy="41578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2</xdr:row>
      <xdr:rowOff>0</xdr:rowOff>
    </xdr:from>
    <xdr:to>
      <xdr:col>26</xdr:col>
      <xdr:colOff>526219</xdr:colOff>
      <xdr:row>22</xdr:row>
      <xdr:rowOff>69127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0" y="390525"/>
          <a:ext cx="10432219" cy="6498502"/>
        </a:xfrm>
        <a:prstGeom prst="rect">
          <a:avLst/>
        </a:prstGeom>
      </xdr:spPr>
    </xdr:pic>
    <xdr:clientData/>
  </xdr:twoCellAnchor>
  <xdr:twoCellAnchor editAs="oneCell">
    <xdr:from>
      <xdr:col>13</xdr:col>
      <xdr:colOff>39782</xdr:colOff>
      <xdr:row>22</xdr:row>
      <xdr:rowOff>146029</xdr:rowOff>
    </xdr:from>
    <xdr:to>
      <xdr:col>26</xdr:col>
      <xdr:colOff>39781</xdr:colOff>
      <xdr:row>36</xdr:row>
      <xdr:rowOff>157270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74282" y="6965929"/>
          <a:ext cx="9905999" cy="4573716"/>
        </a:xfrm>
        <a:prstGeom prst="rect">
          <a:avLst/>
        </a:prstGeom>
      </xdr:spPr>
    </xdr:pic>
    <xdr:clientData/>
  </xdr:twoCellAnchor>
  <xdr:twoCellAnchor editAs="oneCell">
    <xdr:from>
      <xdr:col>13</xdr:col>
      <xdr:colOff>1682</xdr:colOff>
      <xdr:row>37</xdr:row>
      <xdr:rowOff>84452</xdr:rowOff>
    </xdr:from>
    <xdr:to>
      <xdr:col>25</xdr:col>
      <xdr:colOff>237006</xdr:colOff>
      <xdr:row>55</xdr:row>
      <xdr:rowOff>133343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6182" y="11657327"/>
          <a:ext cx="9379324" cy="34778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</xdr:colOff>
      <xdr:row>6</xdr:row>
      <xdr:rowOff>93022</xdr:rowOff>
    </xdr:from>
    <xdr:to>
      <xdr:col>8</xdr:col>
      <xdr:colOff>0</xdr:colOff>
      <xdr:row>8</xdr:row>
      <xdr:rowOff>29307</xdr:rowOff>
    </xdr:to>
    <xdr:sp macro="" textlink="">
      <xdr:nvSpPr>
        <xdr:cNvPr id="3" name="Flèche vers le hau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 rot="16200000">
          <a:off x="5658936" y="625339"/>
          <a:ext cx="317285" cy="228599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methode-merci.fr/" TargetMode="External"/><Relationship Id="rId4" Type="http://schemas.openxmlformats.org/officeDocument/2006/relationships/vmlDrawing" Target="../drawings/vmlDrawing9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L59"/>
  <sheetViews>
    <sheetView tabSelected="1" zoomScale="85" zoomScaleNormal="85" workbookViewId="0"/>
  </sheetViews>
  <sheetFormatPr baseColWidth="10" defaultColWidth="11.5546875" defaultRowHeight="16.8" x14ac:dyDescent="0.45"/>
  <cols>
    <col min="1" max="1" width="11.5546875" style="141"/>
    <col min="2" max="2" width="16.5546875" style="141" customWidth="1"/>
    <col min="3" max="3" width="15" style="141" customWidth="1"/>
    <col min="4" max="16384" width="11.5546875" style="141"/>
  </cols>
  <sheetData>
    <row r="1" spans="1:12" x14ac:dyDescent="0.45">
      <c r="A1" s="268" t="s">
        <v>267</v>
      </c>
      <c r="B1" s="265"/>
      <c r="C1" s="265"/>
      <c r="D1" s="265"/>
      <c r="E1" s="265"/>
      <c r="F1" s="265"/>
      <c r="G1" s="265"/>
      <c r="H1" s="265"/>
    </row>
    <row r="4" spans="1:12" x14ac:dyDescent="0.45">
      <c r="F4"/>
    </row>
    <row r="5" spans="1:12" x14ac:dyDescent="0.45">
      <c r="L5"/>
    </row>
    <row r="6" spans="1:12" ht="24.6" x14ac:dyDescent="0.6">
      <c r="B6" s="310" t="s">
        <v>367</v>
      </c>
      <c r="C6" s="311"/>
      <c r="D6" s="311"/>
      <c r="E6" s="311"/>
      <c r="F6" s="311"/>
      <c r="G6" s="311"/>
    </row>
    <row r="8" spans="1:12" ht="37.950000000000003" customHeight="1" x14ac:dyDescent="0.45">
      <c r="A8" s="314" t="s">
        <v>263</v>
      </c>
      <c r="B8" s="314"/>
      <c r="C8" s="314"/>
      <c r="D8" s="314"/>
      <c r="E8" s="314"/>
      <c r="F8" s="314"/>
      <c r="G8" s="314"/>
      <c r="H8" s="314"/>
    </row>
    <row r="10" spans="1:12" x14ac:dyDescent="0.45">
      <c r="A10" s="142" t="s">
        <v>186</v>
      </c>
    </row>
    <row r="11" spans="1:12" x14ac:dyDescent="0.45">
      <c r="A11" s="141" t="s">
        <v>273</v>
      </c>
    </row>
    <row r="12" spans="1:12" x14ac:dyDescent="0.45">
      <c r="A12" s="141">
        <f>'Synthèse '!A10</f>
        <v>1</v>
      </c>
      <c r="B12" s="141" t="str">
        <f>'Synthèse '!B10</f>
        <v>Introduction de cultures à faible besoin azoté</v>
      </c>
    </row>
    <row r="13" spans="1:12" x14ac:dyDescent="0.45">
      <c r="A13" s="141">
        <f>'Synthèse '!A11</f>
        <v>2</v>
      </c>
      <c r="B13" s="141" t="str">
        <f>'Synthèse '!B11</f>
        <v>Substitution des engrais minéraux par des engrais organiques</v>
      </c>
    </row>
    <row r="14" spans="1:12" x14ac:dyDescent="0.45">
      <c r="A14" s="141">
        <f>'Synthèse '!A12</f>
        <v>3</v>
      </c>
      <c r="B14" s="141" t="str">
        <f>'Synthèse '!B12</f>
        <v>Substitution de l'azote liquide par de l'ammonitrate et utilisation d'inhibiteurs</v>
      </c>
    </row>
    <row r="15" spans="1:12" x14ac:dyDescent="0.45">
      <c r="A15" s="141">
        <f>'Synthèse '!A13</f>
        <v>4</v>
      </c>
      <c r="B15" s="141" t="str">
        <f>'Synthèse '!B13</f>
        <v>Implantation d'une interculture</v>
      </c>
    </row>
    <row r="16" spans="1:12" x14ac:dyDescent="0.45">
      <c r="A16" s="141">
        <f>'Synthèse '!A14</f>
        <v>5</v>
      </c>
      <c r="B16" s="141" t="str">
        <f>'Synthèse '!B14</f>
        <v>Implantation d'une haie</v>
      </c>
    </row>
    <row r="17" spans="1:9" x14ac:dyDescent="0.45">
      <c r="A17" s="141">
        <f>'Synthèse '!A15</f>
        <v>6</v>
      </c>
      <c r="B17" s="141" t="str">
        <f>'Synthèse '!B15</f>
        <v>Restitution des pailles</v>
      </c>
    </row>
    <row r="18" spans="1:9" x14ac:dyDescent="0.45">
      <c r="A18" s="141">
        <f>'Synthèse '!A16</f>
        <v>7</v>
      </c>
      <c r="B18" s="141" t="str">
        <f>'Synthèse '!B16</f>
        <v>Pilotage de l'azote</v>
      </c>
    </row>
    <row r="19" spans="1:9" x14ac:dyDescent="0.45">
      <c r="A19" s="141">
        <f>'Synthèse '!A17</f>
        <v>8</v>
      </c>
      <c r="B19" s="141" t="str">
        <f>'Synthèse '!B17</f>
        <v>Augmentation des prairie temporaires sur terres labourables</v>
      </c>
    </row>
    <row r="21" spans="1:9" x14ac:dyDescent="0.45">
      <c r="B21" s="141" t="s">
        <v>187</v>
      </c>
      <c r="C21" s="242" t="s">
        <v>188</v>
      </c>
      <c r="D21" s="141" t="s">
        <v>189</v>
      </c>
    </row>
    <row r="23" spans="1:9" x14ac:dyDescent="0.45">
      <c r="A23" s="315" t="s">
        <v>190</v>
      </c>
      <c r="B23" s="316"/>
      <c r="C23" s="243" t="s">
        <v>193</v>
      </c>
    </row>
    <row r="24" spans="1:9" ht="17.399999999999999" thickBot="1" x14ac:dyDescent="0.5"/>
    <row r="25" spans="1:9" x14ac:dyDescent="0.45">
      <c r="A25" s="317" t="s">
        <v>191</v>
      </c>
      <c r="B25" s="318"/>
      <c r="C25" s="319"/>
    </row>
    <row r="26" spans="1:9" x14ac:dyDescent="0.45">
      <c r="A26" s="320" t="s">
        <v>192</v>
      </c>
      <c r="B26" s="321"/>
      <c r="C26" s="244">
        <v>20</v>
      </c>
    </row>
    <row r="27" spans="1:9" x14ac:dyDescent="0.45">
      <c r="A27" s="320" t="s">
        <v>180</v>
      </c>
      <c r="B27" s="321"/>
      <c r="C27" s="244">
        <v>1.5</v>
      </c>
    </row>
    <row r="28" spans="1:9" ht="17.399999999999999" thickBot="1" x14ac:dyDescent="0.5">
      <c r="A28" s="312" t="s">
        <v>221</v>
      </c>
      <c r="B28" s="313"/>
      <c r="C28" s="245">
        <v>1.5</v>
      </c>
      <c r="D28" s="141" t="s">
        <v>222</v>
      </c>
    </row>
    <row r="31" spans="1:9" ht="19.2" x14ac:dyDescent="0.5">
      <c r="A31" s="76" t="s">
        <v>217</v>
      </c>
      <c r="B31"/>
      <c r="C31"/>
      <c r="D31"/>
      <c r="E31"/>
      <c r="F31"/>
      <c r="G31"/>
      <c r="H31"/>
      <c r="I31"/>
    </row>
    <row r="32" spans="1:9" ht="19.2" x14ac:dyDescent="0.5">
      <c r="A32" s="76" t="s">
        <v>218</v>
      </c>
      <c r="B32"/>
      <c r="C32"/>
      <c r="D32" s="158" t="s">
        <v>220</v>
      </c>
      <c r="E32" s="158"/>
      <c r="F32" s="158"/>
      <c r="G32" t="s">
        <v>219</v>
      </c>
      <c r="H32"/>
      <c r="I32"/>
    </row>
    <row r="33" spans="1:9" ht="50.4" x14ac:dyDescent="0.45">
      <c r="A33" s="147" t="s">
        <v>206</v>
      </c>
      <c r="B33" s="147" t="s">
        <v>205</v>
      </c>
      <c r="C33" s="147" t="s">
        <v>204</v>
      </c>
      <c r="D33" s="328" t="s">
        <v>203</v>
      </c>
      <c r="E33" s="329"/>
      <c r="F33" s="328" t="s">
        <v>202</v>
      </c>
      <c r="G33" s="329"/>
      <c r="H33" s="328" t="s">
        <v>201</v>
      </c>
      <c r="I33" s="329"/>
    </row>
    <row r="34" spans="1:9" x14ac:dyDescent="0.45">
      <c r="A34" s="322" t="s">
        <v>200</v>
      </c>
      <c r="B34" s="246" t="s">
        <v>284</v>
      </c>
      <c r="C34" s="247">
        <v>30</v>
      </c>
      <c r="D34" s="248">
        <v>880</v>
      </c>
      <c r="E34" s="145" t="s">
        <v>195</v>
      </c>
      <c r="F34" s="144">
        <f>D34/C34*100/1000</f>
        <v>2.9333333333333331</v>
      </c>
      <c r="G34" s="145" t="s">
        <v>194</v>
      </c>
      <c r="H34" s="324">
        <f>(F34+F35)/2</f>
        <v>2.9517412935323382</v>
      </c>
      <c r="I34" s="326" t="s">
        <v>194</v>
      </c>
    </row>
    <row r="35" spans="1:9" x14ac:dyDescent="0.45">
      <c r="A35" s="330"/>
      <c r="B35" s="249" t="s">
        <v>198</v>
      </c>
      <c r="C35" s="250">
        <v>33.5</v>
      </c>
      <c r="D35" s="251">
        <v>995</v>
      </c>
      <c r="E35" s="229" t="s">
        <v>195</v>
      </c>
      <c r="F35" s="230">
        <f>D35/C35*100/1000</f>
        <v>2.9701492537313428</v>
      </c>
      <c r="G35" s="229" t="s">
        <v>194</v>
      </c>
      <c r="H35" s="325"/>
      <c r="I35" s="327"/>
    </row>
    <row r="36" spans="1:9" x14ac:dyDescent="0.45">
      <c r="A36" s="330"/>
      <c r="B36" s="249" t="s">
        <v>353</v>
      </c>
      <c r="C36" s="250">
        <v>26</v>
      </c>
      <c r="D36" s="251">
        <v>850</v>
      </c>
      <c r="E36" s="145" t="s">
        <v>195</v>
      </c>
      <c r="F36" s="144">
        <f>D36/C36*100/1000</f>
        <v>3.2692307692307696</v>
      </c>
      <c r="G36" s="145" t="s">
        <v>194</v>
      </c>
      <c r="H36" s="228">
        <f>F36</f>
        <v>3.2692307692307696</v>
      </c>
      <c r="I36" s="146" t="s">
        <v>194</v>
      </c>
    </row>
    <row r="37" spans="1:9" x14ac:dyDescent="0.45">
      <c r="A37" s="323"/>
      <c r="B37" s="252" t="s">
        <v>243</v>
      </c>
      <c r="C37" s="250">
        <v>46</v>
      </c>
      <c r="D37" s="248">
        <v>1200</v>
      </c>
      <c r="E37" s="145" t="s">
        <v>195</v>
      </c>
      <c r="F37" s="144">
        <f>D37/C37*100/1000</f>
        <v>2.6086956521739131</v>
      </c>
      <c r="G37" s="145" t="s">
        <v>194</v>
      </c>
      <c r="H37" s="228">
        <f>F37</f>
        <v>2.6086956521739131</v>
      </c>
      <c r="I37" s="146" t="s">
        <v>194</v>
      </c>
    </row>
    <row r="38" spans="1:9" x14ac:dyDescent="0.45">
      <c r="A38"/>
      <c r="B38"/>
      <c r="C38"/>
      <c r="D38"/>
      <c r="E38"/>
      <c r="F38"/>
      <c r="G38"/>
      <c r="H38"/>
      <c r="I38"/>
    </row>
    <row r="39" spans="1:9" x14ac:dyDescent="0.45">
      <c r="A39" s="322" t="s">
        <v>197</v>
      </c>
      <c r="B39" s="249" t="s">
        <v>85</v>
      </c>
      <c r="C39" s="249">
        <v>45</v>
      </c>
      <c r="D39" s="248">
        <v>850</v>
      </c>
      <c r="E39" s="145" t="s">
        <v>195</v>
      </c>
      <c r="F39" s="144">
        <f>D39/C39*100/1000</f>
        <v>1.8888888888888888</v>
      </c>
      <c r="G39" s="145" t="s">
        <v>194</v>
      </c>
      <c r="H39" s="324">
        <f>(F39+F40)/2</f>
        <v>1.6712776696229001</v>
      </c>
      <c r="I39" s="326" t="s">
        <v>194</v>
      </c>
    </row>
    <row r="40" spans="1:9" x14ac:dyDescent="0.45">
      <c r="A40" s="323"/>
      <c r="B40" s="249" t="s">
        <v>223</v>
      </c>
      <c r="C40" s="249">
        <v>46</v>
      </c>
      <c r="D40" s="248">
        <v>1200</v>
      </c>
      <c r="E40" s="145" t="s">
        <v>195</v>
      </c>
      <c r="F40" s="144">
        <f>(D40-(180*H34))/C40*100/1000</f>
        <v>1.4536664503569112</v>
      </c>
      <c r="G40" s="145" t="s">
        <v>194</v>
      </c>
      <c r="H40" s="325"/>
      <c r="I40" s="327"/>
    </row>
    <row r="41" spans="1:9" x14ac:dyDescent="0.45">
      <c r="A41"/>
      <c r="B41"/>
      <c r="C41"/>
      <c r="D41"/>
      <c r="E41"/>
      <c r="F41"/>
      <c r="G41"/>
      <c r="H41"/>
      <c r="I41"/>
    </row>
    <row r="42" spans="1:9" x14ac:dyDescent="0.45">
      <c r="A42" s="146" t="s">
        <v>89</v>
      </c>
      <c r="B42" s="249" t="s">
        <v>196</v>
      </c>
      <c r="C42" s="249">
        <v>60</v>
      </c>
      <c r="D42" s="248">
        <v>850</v>
      </c>
      <c r="E42" s="145" t="s">
        <v>195</v>
      </c>
      <c r="F42" s="144">
        <f>D42/C42*100/1000</f>
        <v>1.4166666666666665</v>
      </c>
      <c r="G42" s="145" t="s">
        <v>194</v>
      </c>
      <c r="H42" s="144">
        <f>F42</f>
        <v>1.4166666666666665</v>
      </c>
      <c r="I42" s="143" t="s">
        <v>194</v>
      </c>
    </row>
    <row r="47" spans="1:9" x14ac:dyDescent="0.45">
      <c r="A47" s="267"/>
      <c r="B47" s="267"/>
      <c r="C47" s="267"/>
      <c r="D47" s="267"/>
      <c r="E47" s="267"/>
      <c r="F47" s="267"/>
      <c r="G47" s="267"/>
      <c r="H47" s="267"/>
      <c r="I47" s="267"/>
    </row>
    <row r="48" spans="1:9" x14ac:dyDescent="0.45">
      <c r="A48" s="267" t="s">
        <v>261</v>
      </c>
      <c r="B48" s="267"/>
      <c r="C48" s="267"/>
      <c r="D48" s="267"/>
      <c r="E48" s="267"/>
      <c r="F48" s="267"/>
      <c r="G48" s="267"/>
      <c r="H48" s="267"/>
      <c r="I48" s="267"/>
    </row>
    <row r="49" spans="1:9" x14ac:dyDescent="0.45">
      <c r="A49" s="267"/>
      <c r="B49" s="267"/>
      <c r="C49" s="267"/>
      <c r="D49" s="267"/>
      <c r="E49" s="267"/>
      <c r="F49" s="267"/>
      <c r="G49" s="267"/>
      <c r="H49" s="267"/>
      <c r="I49" s="267"/>
    </row>
    <row r="50" spans="1:9" x14ac:dyDescent="0.45">
      <c r="A50" s="267"/>
      <c r="B50" s="267"/>
      <c r="C50" s="266"/>
      <c r="D50" s="266"/>
      <c r="E50" s="266"/>
      <c r="F50" s="267"/>
      <c r="G50" s="267"/>
      <c r="H50" s="267"/>
      <c r="I50" s="267"/>
    </row>
    <row r="51" spans="1:9" x14ac:dyDescent="0.45">
      <c r="A51" s="267"/>
      <c r="B51" s="267"/>
      <c r="C51" s="266"/>
      <c r="D51" s="266"/>
      <c r="E51" s="266"/>
      <c r="F51" s="267"/>
      <c r="G51" s="267"/>
      <c r="H51" s="267"/>
      <c r="I51" s="267"/>
    </row>
    <row r="52" spans="1:9" x14ac:dyDescent="0.45">
      <c r="A52" s="267"/>
      <c r="B52" s="267"/>
      <c r="C52" s="266"/>
      <c r="D52" s="266"/>
      <c r="E52" s="266"/>
      <c r="F52" s="267"/>
      <c r="G52" s="267"/>
      <c r="H52" s="267"/>
      <c r="I52" s="267"/>
    </row>
    <row r="53" spans="1:9" x14ac:dyDescent="0.45">
      <c r="A53" s="267" t="s">
        <v>262</v>
      </c>
      <c r="B53" s="267"/>
      <c r="C53" s="266"/>
      <c r="D53" s="266"/>
      <c r="E53" s="266"/>
      <c r="F53" s="267"/>
      <c r="G53" s="267"/>
      <c r="H53" s="267"/>
      <c r="I53" s="267"/>
    </row>
    <row r="54" spans="1:9" x14ac:dyDescent="0.45">
      <c r="A54" s="267"/>
      <c r="B54" s="267"/>
      <c r="C54" s="266"/>
      <c r="D54" s="266"/>
      <c r="E54" s="266"/>
      <c r="F54" s="267"/>
      <c r="G54" s="267"/>
      <c r="H54" s="267"/>
      <c r="I54" s="267"/>
    </row>
    <row r="55" spans="1:9" x14ac:dyDescent="0.45">
      <c r="A55" s="267"/>
      <c r="B55" s="267"/>
      <c r="C55" s="266"/>
      <c r="D55" s="266"/>
      <c r="E55" s="266"/>
      <c r="F55" s="267"/>
      <c r="G55" s="267"/>
      <c r="H55" s="267"/>
      <c r="I55" s="267"/>
    </row>
    <row r="56" spans="1:9" x14ac:dyDescent="0.45">
      <c r="A56" s="267"/>
      <c r="B56" s="267"/>
      <c r="C56" s="266"/>
      <c r="D56" s="266"/>
      <c r="E56" s="266"/>
      <c r="F56" s="267"/>
      <c r="G56" s="267"/>
      <c r="H56" s="267"/>
      <c r="I56" s="267"/>
    </row>
    <row r="57" spans="1:9" x14ac:dyDescent="0.45">
      <c r="A57" s="267"/>
      <c r="B57" s="267"/>
      <c r="C57" s="266"/>
      <c r="D57" s="266"/>
      <c r="E57" s="266"/>
      <c r="F57" s="267"/>
      <c r="G57" s="267"/>
      <c r="H57" s="267"/>
      <c r="I57" s="267"/>
    </row>
    <row r="58" spans="1:9" x14ac:dyDescent="0.45">
      <c r="A58" s="267"/>
      <c r="B58" s="267"/>
      <c r="C58" s="266"/>
      <c r="D58" s="266"/>
      <c r="E58" s="266"/>
      <c r="F58" s="267"/>
      <c r="G58" s="267"/>
      <c r="H58" s="267"/>
      <c r="I58" s="267"/>
    </row>
    <row r="59" spans="1:9" x14ac:dyDescent="0.45">
      <c r="A59" s="267"/>
      <c r="B59" s="267"/>
      <c r="C59" s="267"/>
      <c r="D59" s="267"/>
      <c r="E59" s="267"/>
      <c r="F59" s="267"/>
      <c r="G59" s="267"/>
      <c r="H59" s="267"/>
      <c r="I59" s="267"/>
    </row>
  </sheetData>
  <sheetProtection sheet="1" objects="1" scenarios="1"/>
  <mergeCells count="15">
    <mergeCell ref="A39:A40"/>
    <mergeCell ref="H39:H40"/>
    <mergeCell ref="I39:I40"/>
    <mergeCell ref="D33:E33"/>
    <mergeCell ref="F33:G33"/>
    <mergeCell ref="H33:I33"/>
    <mergeCell ref="H34:H35"/>
    <mergeCell ref="I34:I35"/>
    <mergeCell ref="A34:A37"/>
    <mergeCell ref="A28:B28"/>
    <mergeCell ref="A8:H8"/>
    <mergeCell ref="A23:B23"/>
    <mergeCell ref="A25:C25"/>
    <mergeCell ref="A26:B26"/>
    <mergeCell ref="A27:B27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  <headerFooter>
    <oddFooter>&amp;L&amp;D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 tint="-0.249977111117893"/>
  </sheetPr>
  <dimension ref="A1:O26"/>
  <sheetViews>
    <sheetView zoomScaleNormal="100" workbookViewId="0"/>
  </sheetViews>
  <sheetFormatPr baseColWidth="10" defaultRowHeight="16.8" x14ac:dyDescent="0.45"/>
  <cols>
    <col min="1" max="1" width="12.5546875" customWidth="1"/>
    <col min="2" max="2" width="23.33203125" customWidth="1"/>
    <col min="5" max="5" width="16.5546875" customWidth="1"/>
    <col min="9" max="9" width="18.33203125" customWidth="1"/>
    <col min="14" max="14" width="18.109375" customWidth="1"/>
  </cols>
  <sheetData>
    <row r="1" spans="1:15" x14ac:dyDescent="0.45">
      <c r="A1" t="str">
        <f>Paramètres!C23</f>
        <v>SCEA DUPONT</v>
      </c>
    </row>
    <row r="2" spans="1:15" ht="17.399999999999999" thickBot="1" x14ac:dyDescent="0.5"/>
    <row r="3" spans="1:15" ht="17.399999999999999" thickBot="1" x14ac:dyDescent="0.5">
      <c r="A3" s="135" t="s">
        <v>283</v>
      </c>
      <c r="B3" s="51" t="s">
        <v>253</v>
      </c>
      <c r="C3" s="139"/>
      <c r="D3" s="49"/>
      <c r="E3" s="49"/>
      <c r="F3" s="49"/>
      <c r="G3" s="49"/>
      <c r="H3" s="50"/>
    </row>
    <row r="4" spans="1:15" ht="17.399999999999999" thickBot="1" x14ac:dyDescent="0.5">
      <c r="B4" s="16" t="s">
        <v>272</v>
      </c>
      <c r="C4" s="19"/>
      <c r="D4" s="253">
        <v>10</v>
      </c>
      <c r="E4" s="34"/>
    </row>
    <row r="5" spans="1:15" ht="38.25" customHeight="1" thickBot="1" x14ac:dyDescent="0.6">
      <c r="C5" s="255" t="s">
        <v>73</v>
      </c>
      <c r="E5" s="270" t="s">
        <v>340</v>
      </c>
      <c r="I5" s="1"/>
      <c r="J5" s="280" t="s">
        <v>342</v>
      </c>
      <c r="K5" s="2"/>
      <c r="L5" s="2"/>
      <c r="M5" s="2"/>
      <c r="N5" s="2"/>
      <c r="O5" s="3"/>
    </row>
    <row r="6" spans="1:15" x14ac:dyDescent="0.45">
      <c r="B6" s="1" t="s">
        <v>66</v>
      </c>
      <c r="C6" s="254">
        <v>9</v>
      </c>
      <c r="D6" s="2"/>
      <c r="E6" s="254">
        <v>5</v>
      </c>
      <c r="I6" s="4"/>
      <c r="J6" s="5"/>
      <c r="K6" s="5"/>
      <c r="L6" s="5"/>
      <c r="M6" s="5"/>
      <c r="N6" s="5"/>
      <c r="O6" s="6"/>
    </row>
    <row r="7" spans="1:15" x14ac:dyDescent="0.45">
      <c r="B7" s="4" t="s">
        <v>57</v>
      </c>
      <c r="C7" s="184">
        <v>280</v>
      </c>
      <c r="D7" s="5"/>
      <c r="E7" s="184">
        <v>90</v>
      </c>
      <c r="I7" s="4"/>
      <c r="J7" s="5" t="str">
        <f>Paramètres!C33</f>
        <v>teneur de l'élément à chiffrer/t</v>
      </c>
      <c r="K7" s="5" t="str">
        <f>Paramètres!D33</f>
        <v>prix achat de l'engrais simple</v>
      </c>
      <c r="L7" s="5">
        <f>Paramètres!E33</f>
        <v>0</v>
      </c>
      <c r="M7" s="5" t="str">
        <f>Paramètres!F33</f>
        <v>coût de l'unité</v>
      </c>
      <c r="N7" s="5" t="s">
        <v>341</v>
      </c>
      <c r="O7" s="6" t="s">
        <v>345</v>
      </c>
    </row>
    <row r="8" spans="1:15" x14ac:dyDescent="0.45">
      <c r="B8" s="28" t="s">
        <v>67</v>
      </c>
      <c r="C8" s="184">
        <v>500</v>
      </c>
      <c r="D8" s="5"/>
      <c r="E8" s="281">
        <f>O19</f>
        <v>148</v>
      </c>
      <c r="I8" s="4" t="str">
        <f>Paramètres!B34</f>
        <v>Solution 30/39</v>
      </c>
      <c r="J8" s="5">
        <f>Paramètres!C34</f>
        <v>30</v>
      </c>
      <c r="K8" s="5">
        <f>Paramètres!D34</f>
        <v>880</v>
      </c>
      <c r="L8" s="5" t="str">
        <f>Paramètres!E34</f>
        <v>€/t</v>
      </c>
      <c r="M8" s="276">
        <f>Paramètres!F34</f>
        <v>2.9333333333333331</v>
      </c>
      <c r="N8" s="122">
        <v>0.1</v>
      </c>
      <c r="O8" s="6">
        <f>N8*K8</f>
        <v>88</v>
      </c>
    </row>
    <row r="9" spans="1:15" x14ac:dyDescent="0.45">
      <c r="B9" s="4" t="s">
        <v>68</v>
      </c>
      <c r="C9" s="184"/>
      <c r="D9" s="5"/>
      <c r="E9" s="184"/>
      <c r="I9" s="4" t="str">
        <f>Paramètres!B35</f>
        <v>Ammonitrate 33,5</v>
      </c>
      <c r="J9" s="5">
        <f>Paramètres!C35</f>
        <v>33.5</v>
      </c>
      <c r="K9" s="5">
        <f>Paramètres!D35</f>
        <v>995</v>
      </c>
      <c r="L9" s="5" t="str">
        <f>Paramètres!E35</f>
        <v>€/t</v>
      </c>
      <c r="M9" s="276">
        <f>Paramètres!F35</f>
        <v>2.9701492537313428</v>
      </c>
      <c r="N9" s="122"/>
      <c r="O9" s="6">
        <f t="shared" ref="O9:O18" si="0">N9*K9</f>
        <v>0</v>
      </c>
    </row>
    <row r="10" spans="1:15" x14ac:dyDescent="0.45">
      <c r="B10" s="28" t="s">
        <v>69</v>
      </c>
      <c r="C10" s="184">
        <f>C6*C7+C9-C8</f>
        <v>2020</v>
      </c>
      <c r="D10" s="5"/>
      <c r="E10" s="184">
        <f>E6*E7+E9-E8</f>
        <v>302</v>
      </c>
      <c r="I10" s="4" t="str">
        <f>Paramètres!B37</f>
        <v>Nexen (inhibteur)</v>
      </c>
      <c r="J10" s="5">
        <f>Paramètres!C37</f>
        <v>46</v>
      </c>
      <c r="K10" s="5">
        <f>Paramètres!D37</f>
        <v>1200</v>
      </c>
      <c r="L10" s="5" t="str">
        <f>Paramètres!E37</f>
        <v>€/t</v>
      </c>
      <c r="M10" s="276">
        <f>Paramètres!F37</f>
        <v>2.6086956521739131</v>
      </c>
      <c r="N10" s="122"/>
      <c r="O10" s="6">
        <f t="shared" si="0"/>
        <v>0</v>
      </c>
    </row>
    <row r="11" spans="1:15" x14ac:dyDescent="0.45">
      <c r="B11" s="4" t="s">
        <v>70</v>
      </c>
      <c r="C11" s="184"/>
      <c r="D11" s="5"/>
      <c r="E11" s="184"/>
      <c r="I11" s="4" t="str">
        <f>Paramètres!B39</f>
        <v>Super 45</v>
      </c>
      <c r="J11" s="5">
        <f>Paramètres!C39</f>
        <v>45</v>
      </c>
      <c r="K11" s="5">
        <f>Paramètres!D39</f>
        <v>850</v>
      </c>
      <c r="L11" s="5" t="str">
        <f>Paramètres!E39</f>
        <v>€/t</v>
      </c>
      <c r="M11" s="276">
        <f>Paramètres!F39</f>
        <v>1.8888888888888888</v>
      </c>
      <c r="N11" s="122"/>
      <c r="O11" s="6">
        <f t="shared" si="0"/>
        <v>0</v>
      </c>
    </row>
    <row r="12" spans="1:15" ht="17.399999999999999" thickBot="1" x14ac:dyDescent="0.5">
      <c r="B12" s="4" t="s">
        <v>71</v>
      </c>
      <c r="C12" s="137">
        <v>0</v>
      </c>
      <c r="D12" s="5"/>
      <c r="E12" s="184">
        <v>20</v>
      </c>
      <c r="I12" s="4" t="str">
        <f>Paramètres!B40</f>
        <v xml:space="preserve"> 18.46 (DAP)</v>
      </c>
      <c r="J12" s="5">
        <f>Paramètres!C40</f>
        <v>46</v>
      </c>
      <c r="K12" s="5">
        <f>Paramètres!D40</f>
        <v>1200</v>
      </c>
      <c r="L12" s="5" t="str">
        <f>Paramètres!E40</f>
        <v>€/t</v>
      </c>
      <c r="M12" s="276">
        <f>Paramètres!F40</f>
        <v>1.4536664503569112</v>
      </c>
      <c r="N12" s="122"/>
      <c r="O12" s="6">
        <f t="shared" si="0"/>
        <v>0</v>
      </c>
    </row>
    <row r="13" spans="1:15" ht="17.399999999999999" thickBot="1" x14ac:dyDescent="0.5">
      <c r="B13" s="16" t="s">
        <v>97</v>
      </c>
      <c r="C13" s="58">
        <f>C10+C11+C12</f>
        <v>2020</v>
      </c>
      <c r="D13" s="18"/>
      <c r="E13" s="58">
        <f>E10+E11+E12</f>
        <v>322</v>
      </c>
      <c r="I13" s="4" t="str">
        <f>Paramètres!B42</f>
        <v>Kcl 60</v>
      </c>
      <c r="J13" s="5">
        <f>Paramètres!C42</f>
        <v>60</v>
      </c>
      <c r="K13" s="5">
        <f>Paramètres!D42</f>
        <v>850</v>
      </c>
      <c r="L13" s="5" t="str">
        <f>Paramètres!E42</f>
        <v>€/t</v>
      </c>
      <c r="M13" s="276">
        <f>Paramètres!F42</f>
        <v>1.4166666666666665</v>
      </c>
      <c r="N13" s="122"/>
      <c r="O13" s="6">
        <f t="shared" si="0"/>
        <v>0</v>
      </c>
    </row>
    <row r="14" spans="1:15" ht="17.399999999999999" thickBot="1" x14ac:dyDescent="0.5">
      <c r="B14" s="54" t="s">
        <v>19</v>
      </c>
      <c r="C14" s="56"/>
      <c r="D14" s="59">
        <f>E13-C13</f>
        <v>-1698</v>
      </c>
      <c r="E14" s="61"/>
      <c r="I14" s="190" t="s">
        <v>346</v>
      </c>
      <c r="J14" s="5"/>
      <c r="K14" s="122"/>
      <c r="L14" s="122" t="s">
        <v>195</v>
      </c>
      <c r="M14" s="5"/>
      <c r="N14" s="122"/>
      <c r="O14" s="6">
        <f t="shared" si="0"/>
        <v>0</v>
      </c>
    </row>
    <row r="15" spans="1:15" ht="17.399999999999999" thickBot="1" x14ac:dyDescent="0.5">
      <c r="B15" s="21"/>
      <c r="C15" s="18"/>
      <c r="D15" s="18"/>
      <c r="E15" s="19"/>
      <c r="I15" s="190"/>
      <c r="J15" s="5"/>
      <c r="K15" s="122"/>
      <c r="L15" s="122" t="s">
        <v>195</v>
      </c>
      <c r="M15" s="5"/>
      <c r="N15" s="122"/>
      <c r="O15" s="6">
        <f t="shared" si="0"/>
        <v>0</v>
      </c>
    </row>
    <row r="16" spans="1:15" x14ac:dyDescent="0.45">
      <c r="B16" s="35" t="s">
        <v>101</v>
      </c>
      <c r="C16" s="39">
        <f>IF(C5=listes!X2,listes!Z2,IF(C5=listes!X3,listes!Z3,IF(C5=listes!X4,listes!Z4,IF(C5=listes!X5,listes!Z5,IF(C5=listes!X6,listes!Z6,IF(C5=listes!X7,listes!Z7,IF(C5=listes!X8,listes!Z8,0)))))))</f>
        <v>5.6</v>
      </c>
      <c r="D16" s="33"/>
      <c r="E16" s="271">
        <v>4</v>
      </c>
      <c r="I16" s="190"/>
      <c r="J16" s="5"/>
      <c r="K16" s="122"/>
      <c r="L16" s="122" t="s">
        <v>195</v>
      </c>
      <c r="M16" s="5"/>
      <c r="N16" s="122"/>
      <c r="O16" s="6">
        <f t="shared" si="0"/>
        <v>0</v>
      </c>
    </row>
    <row r="17" spans="2:15" ht="17.399999999999999" thickBot="1" x14ac:dyDescent="0.5">
      <c r="B17" s="43" t="s">
        <v>98</v>
      </c>
      <c r="C17" s="44">
        <f>C16*Paramètres!C26</f>
        <v>112</v>
      </c>
      <c r="D17" s="45"/>
      <c r="E17" s="44">
        <f>E16*Paramètres!C26</f>
        <v>80</v>
      </c>
      <c r="I17" s="4" t="s">
        <v>343</v>
      </c>
      <c r="J17" s="5"/>
      <c r="K17" s="122">
        <v>30</v>
      </c>
      <c r="L17" s="122" t="s">
        <v>347</v>
      </c>
      <c r="M17" s="5"/>
      <c r="N17" s="122">
        <v>2</v>
      </c>
      <c r="O17" s="6">
        <f t="shared" si="0"/>
        <v>60</v>
      </c>
    </row>
    <row r="18" spans="2:15" ht="17.399999999999999" thickBot="1" x14ac:dyDescent="0.5">
      <c r="B18" s="35" t="s">
        <v>100</v>
      </c>
      <c r="C18" s="46">
        <f>IF(C5=listes!X2,listes!AA2,IF(C5=listes!X3,listes!AA3,IF(C5=listes!X4,listes!AA4,IF(C5=listes!X5,listes!AA5,IF(C5=listes!X6,listes!AA6,IF(C5=listes!X7,listes!AA7,IF(C5=listes!X8,listes!AA8,0)))))))</f>
        <v>85.4</v>
      </c>
      <c r="D18" s="33"/>
      <c r="E18" s="272">
        <v>60</v>
      </c>
      <c r="I18" s="4" t="s">
        <v>344</v>
      </c>
      <c r="J18" s="5"/>
      <c r="K18" s="122"/>
      <c r="L18" s="122" t="s">
        <v>348</v>
      </c>
      <c r="M18" s="5"/>
      <c r="N18" s="122"/>
      <c r="O18" s="6">
        <f t="shared" si="0"/>
        <v>0</v>
      </c>
    </row>
    <row r="19" spans="2:15" ht="22.2" thickBot="1" x14ac:dyDescent="0.6">
      <c r="B19" s="43" t="s">
        <v>98</v>
      </c>
      <c r="C19" s="47">
        <f>C18*Paramètres!C27</f>
        <v>128.10000000000002</v>
      </c>
      <c r="D19" s="45"/>
      <c r="E19" s="47">
        <f>E18*Paramètres!C27</f>
        <v>90</v>
      </c>
      <c r="I19" s="277" t="s">
        <v>349</v>
      </c>
      <c r="J19" s="278"/>
      <c r="K19" s="278"/>
      <c r="L19" s="278"/>
      <c r="M19" s="278"/>
      <c r="N19" s="278"/>
      <c r="O19" s="279">
        <f>SUM(O8:O18)</f>
        <v>148</v>
      </c>
    </row>
    <row r="20" spans="2:15" ht="17.399999999999999" thickBot="1" x14ac:dyDescent="0.5">
      <c r="B20" s="66" t="s">
        <v>99</v>
      </c>
      <c r="C20" s="67">
        <f>IF(C5=listes!X2,listes!AB2,IF(C5=listes!X3,listes!AB3,IF(C5=listes!X4,listes!AB4,IF(C5=listes!X5,listes!AB5,IF(C5=listes!X6,listes!AB6,IF(C5=listes!X7,listes!AB7,IF(C5=listes!X8,listes!AB8,0)))))))</f>
        <v>69.5</v>
      </c>
      <c r="D20" s="18"/>
      <c r="E20" s="273">
        <v>50</v>
      </c>
    </row>
    <row r="21" spans="2:15" ht="17.399999999999999" thickBot="1" x14ac:dyDescent="0.5">
      <c r="B21" s="41" t="s">
        <v>185</v>
      </c>
      <c r="C21" s="256">
        <v>230</v>
      </c>
      <c r="D21" s="29"/>
      <c r="E21" s="256">
        <v>150</v>
      </c>
    </row>
    <row r="22" spans="2:15" ht="17.399999999999999" thickBot="1" x14ac:dyDescent="0.5">
      <c r="B22" s="21" t="s">
        <v>91</v>
      </c>
      <c r="C22" s="60">
        <f>C17+C19+C20+C21</f>
        <v>539.6</v>
      </c>
      <c r="D22" s="11"/>
      <c r="E22" s="60">
        <f>E17+E19+E20+E21</f>
        <v>370</v>
      </c>
    </row>
    <row r="23" spans="2:15" ht="17.399999999999999" thickBot="1" x14ac:dyDescent="0.5">
      <c r="B23" s="55" t="s">
        <v>19</v>
      </c>
      <c r="C23" s="57"/>
      <c r="D23" s="63">
        <f>C22-E22</f>
        <v>169.60000000000002</v>
      </c>
      <c r="E23" s="62"/>
    </row>
    <row r="24" spans="2:15" ht="17.399999999999999" thickBot="1" x14ac:dyDescent="0.5">
      <c r="B24" s="21" t="s">
        <v>274</v>
      </c>
      <c r="C24" s="22"/>
      <c r="D24" s="64">
        <f>D14+D23</f>
        <v>-1528.4</v>
      </c>
      <c r="E24" s="23"/>
    </row>
    <row r="25" spans="2:15" ht="17.399999999999999" thickBot="1" x14ac:dyDescent="0.5">
      <c r="B25" s="21" t="s">
        <v>276</v>
      </c>
      <c r="C25" s="22"/>
      <c r="D25" s="64">
        <f>D24*D4</f>
        <v>-15284</v>
      </c>
      <c r="E25" s="23"/>
    </row>
    <row r="26" spans="2:15" ht="17.399999999999999" thickBot="1" x14ac:dyDescent="0.5">
      <c r="B26" s="27" t="s">
        <v>291</v>
      </c>
      <c r="C26" s="11"/>
      <c r="D26" s="11"/>
      <c r="E26" s="12"/>
    </row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72" orientation="portrait" verticalDpi="0" r:id="rId1"/>
  <headerFooter>
    <oddFooter>&amp;L&amp;D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listes!$X$2:$X$8</xm:f>
          </x14:formula1>
          <xm:sqref>C5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AM31"/>
  <sheetViews>
    <sheetView workbookViewId="0">
      <selection activeCell="X3" sqref="X3"/>
    </sheetView>
  </sheetViews>
  <sheetFormatPr baseColWidth="10" defaultRowHeight="16.8" x14ac:dyDescent="0.45"/>
  <cols>
    <col min="1" max="1" width="15.88671875" customWidth="1"/>
    <col min="7" max="7" width="16.44140625" customWidth="1"/>
    <col min="14" max="14" width="17.44140625" customWidth="1"/>
    <col min="20" max="20" width="15.33203125" customWidth="1"/>
    <col min="24" max="24" width="18.88671875" customWidth="1"/>
    <col min="25" max="25" width="20.88671875" customWidth="1"/>
    <col min="26" max="26" width="18.33203125" customWidth="1"/>
    <col min="27" max="27" width="14.88671875" customWidth="1"/>
    <col min="28" max="28" width="16.6640625" customWidth="1"/>
    <col min="30" max="30" width="41.44140625" customWidth="1"/>
  </cols>
  <sheetData>
    <row r="1" spans="2:39" ht="17.399999999999999" thickBot="1" x14ac:dyDescent="0.5">
      <c r="B1" s="1" t="s">
        <v>14</v>
      </c>
      <c r="C1" s="2"/>
      <c r="D1" s="2"/>
      <c r="E1" s="14" t="s">
        <v>9</v>
      </c>
      <c r="H1" s="16" t="s">
        <v>90</v>
      </c>
      <c r="I1" s="11"/>
      <c r="J1" s="11"/>
      <c r="K1" s="13" t="s">
        <v>9</v>
      </c>
      <c r="N1" s="13" t="s">
        <v>82</v>
      </c>
      <c r="O1" s="1" t="s">
        <v>26</v>
      </c>
      <c r="P1" s="2"/>
      <c r="Q1" s="3"/>
      <c r="T1" s="1" t="s">
        <v>58</v>
      </c>
      <c r="U1" s="14" t="s">
        <v>9</v>
      </c>
      <c r="X1" s="1" t="s">
        <v>72</v>
      </c>
      <c r="Y1" s="14" t="s">
        <v>80</v>
      </c>
      <c r="Z1" s="32" t="s">
        <v>92</v>
      </c>
      <c r="AA1" s="31" t="s">
        <v>94</v>
      </c>
      <c r="AB1" s="34" t="s">
        <v>93</v>
      </c>
      <c r="AD1" s="16" t="s">
        <v>121</v>
      </c>
      <c r="AE1" s="13" t="s">
        <v>159</v>
      </c>
      <c r="AF1" s="25" t="s">
        <v>139</v>
      </c>
      <c r="AG1" s="20"/>
      <c r="AH1" s="16" t="s">
        <v>127</v>
      </c>
      <c r="AI1" s="11"/>
      <c r="AJ1" s="11"/>
      <c r="AK1" s="13" t="s">
        <v>9</v>
      </c>
      <c r="AL1" s="13" t="s">
        <v>128</v>
      </c>
      <c r="AM1" s="13" t="s">
        <v>129</v>
      </c>
    </row>
    <row r="2" spans="2:39" x14ac:dyDescent="0.45">
      <c r="B2" s="32" t="s">
        <v>20</v>
      </c>
      <c r="C2" s="2"/>
      <c r="D2" s="2"/>
      <c r="E2" s="31">
        <v>9.6999999999999993</v>
      </c>
      <c r="G2" t="s">
        <v>116</v>
      </c>
      <c r="H2" s="32" t="s">
        <v>119</v>
      </c>
      <c r="I2" s="2"/>
      <c r="J2" s="2"/>
      <c r="K2" s="31">
        <v>42.4</v>
      </c>
      <c r="L2" s="5"/>
      <c r="M2" s="5"/>
      <c r="N2" s="14" t="s">
        <v>83</v>
      </c>
      <c r="O2" s="1" t="s">
        <v>27</v>
      </c>
      <c r="P2" s="2"/>
      <c r="Q2" s="3"/>
      <c r="T2" s="1" t="s">
        <v>59</v>
      </c>
      <c r="U2" s="14"/>
      <c r="X2" s="14" t="s">
        <v>79</v>
      </c>
      <c r="Y2" s="1">
        <v>964</v>
      </c>
      <c r="Z2" s="14">
        <v>7.4</v>
      </c>
      <c r="AA2" s="2">
        <v>169.2</v>
      </c>
      <c r="AB2" s="14">
        <v>78.2</v>
      </c>
      <c r="AD2" s="32" t="s">
        <v>123</v>
      </c>
      <c r="AE2" s="31">
        <v>14.4</v>
      </c>
      <c r="AF2" s="25">
        <v>10.9</v>
      </c>
      <c r="AG2" s="20"/>
      <c r="AH2" s="32" t="s">
        <v>130</v>
      </c>
      <c r="AI2" s="2"/>
      <c r="AJ2" s="2"/>
      <c r="AK2" s="31">
        <v>16.600000000000001</v>
      </c>
      <c r="AL2" s="31">
        <v>19.899999999999999</v>
      </c>
      <c r="AM2" s="68">
        <f>IF(AK2="","",AL2/AK2)</f>
        <v>1.1987951807228914</v>
      </c>
    </row>
    <row r="3" spans="2:39" x14ac:dyDescent="0.45">
      <c r="B3" s="20" t="s">
        <v>21</v>
      </c>
      <c r="C3" s="5"/>
      <c r="D3" s="5"/>
      <c r="E3" s="25">
        <v>12.5</v>
      </c>
      <c r="H3" s="20" t="s">
        <v>120</v>
      </c>
      <c r="I3" s="5"/>
      <c r="J3" s="5"/>
      <c r="K3" s="25">
        <v>33.1</v>
      </c>
      <c r="L3" s="5"/>
      <c r="M3" s="5"/>
      <c r="N3" s="24" t="s">
        <v>84</v>
      </c>
      <c r="O3" s="4" t="s">
        <v>28</v>
      </c>
      <c r="P3" s="5"/>
      <c r="Q3" s="6"/>
      <c r="T3" s="4" t="s">
        <v>60</v>
      </c>
      <c r="U3" s="24"/>
      <c r="X3" s="24" t="s">
        <v>73</v>
      </c>
      <c r="Y3" s="4">
        <v>574</v>
      </c>
      <c r="Z3" s="24">
        <v>5.6</v>
      </c>
      <c r="AA3" s="5">
        <v>85.4</v>
      </c>
      <c r="AB3" s="24">
        <v>69.5</v>
      </c>
      <c r="AD3" s="20" t="s">
        <v>124</v>
      </c>
      <c r="AE3" s="25">
        <v>16.100000000000001</v>
      </c>
      <c r="AF3" s="25">
        <v>15.7</v>
      </c>
      <c r="AG3" s="20"/>
      <c r="AH3" s="20" t="s">
        <v>131</v>
      </c>
      <c r="AI3" s="5"/>
      <c r="AJ3" s="5"/>
      <c r="AK3" s="25">
        <v>20.8</v>
      </c>
      <c r="AL3" s="25">
        <v>24.9</v>
      </c>
      <c r="AM3" s="69">
        <f t="shared" ref="AM3:AM17" si="0">IF(AK3="","",AL3/AK3)</f>
        <v>1.1971153846153846</v>
      </c>
    </row>
    <row r="4" spans="2:39" x14ac:dyDescent="0.45">
      <c r="B4" s="20" t="s">
        <v>22</v>
      </c>
      <c r="C4" s="5"/>
      <c r="D4" s="5"/>
      <c r="E4" s="25">
        <v>10.8</v>
      </c>
      <c r="H4" s="20" t="s">
        <v>118</v>
      </c>
      <c r="I4" s="5"/>
      <c r="J4" s="5"/>
      <c r="K4" s="25">
        <v>39.799999999999997</v>
      </c>
      <c r="L4" s="5"/>
      <c r="M4" s="5"/>
      <c r="N4" s="24" t="s">
        <v>85</v>
      </c>
      <c r="O4" s="4" t="s">
        <v>29</v>
      </c>
      <c r="P4" s="5"/>
      <c r="Q4" s="6"/>
      <c r="T4" s="4" t="s">
        <v>61</v>
      </c>
      <c r="U4" s="24"/>
      <c r="X4" s="25" t="s">
        <v>361</v>
      </c>
      <c r="Y4" s="4">
        <v>393</v>
      </c>
      <c r="Z4" s="24">
        <v>5.2</v>
      </c>
      <c r="AA4" s="29">
        <v>48</v>
      </c>
      <c r="AB4" s="24">
        <v>104</v>
      </c>
      <c r="AD4" s="20" t="s">
        <v>125</v>
      </c>
      <c r="AE4" s="25">
        <v>18.100000000000001</v>
      </c>
      <c r="AF4" s="25">
        <v>17.8</v>
      </c>
      <c r="AG4" s="20"/>
      <c r="AH4" s="20" t="s">
        <v>132</v>
      </c>
      <c r="AI4" s="5"/>
      <c r="AJ4" s="5"/>
      <c r="AK4" s="25">
        <v>9.8000000000000007</v>
      </c>
      <c r="AL4" s="25">
        <v>17.600000000000001</v>
      </c>
      <c r="AM4" s="69">
        <f t="shared" si="0"/>
        <v>1.7959183673469388</v>
      </c>
    </row>
    <row r="5" spans="2:39" x14ac:dyDescent="0.45">
      <c r="B5" s="20" t="s">
        <v>23</v>
      </c>
      <c r="C5" s="5"/>
      <c r="D5" s="5"/>
      <c r="E5" s="25">
        <v>9.4</v>
      </c>
      <c r="H5" s="20" t="s">
        <v>107</v>
      </c>
      <c r="I5" s="5"/>
      <c r="J5" s="5"/>
      <c r="K5" s="25">
        <v>119.9</v>
      </c>
      <c r="L5" s="5"/>
      <c r="M5" s="5"/>
      <c r="N5" s="24" t="s">
        <v>86</v>
      </c>
      <c r="O5" s="4" t="s">
        <v>30</v>
      </c>
      <c r="P5" s="5"/>
      <c r="Q5" s="6"/>
      <c r="T5" s="4" t="s">
        <v>63</v>
      </c>
      <c r="U5" s="24"/>
      <c r="X5" s="25" t="s">
        <v>74</v>
      </c>
      <c r="Y5" s="4">
        <v>533</v>
      </c>
      <c r="Z5" s="24">
        <v>5.7</v>
      </c>
      <c r="AA5" s="5">
        <v>88.8</v>
      </c>
      <c r="AB5" s="24">
        <v>64.400000000000006</v>
      </c>
      <c r="AD5" s="20" t="s">
        <v>126</v>
      </c>
      <c r="AE5" s="25">
        <v>19.100000000000001</v>
      </c>
      <c r="AF5" s="25">
        <v>20</v>
      </c>
      <c r="AG5" s="20"/>
      <c r="AH5" s="20" t="s">
        <v>133</v>
      </c>
      <c r="AI5" s="5"/>
      <c r="AJ5" s="5"/>
      <c r="AK5" s="25">
        <v>10.4</v>
      </c>
      <c r="AL5" s="25">
        <v>26</v>
      </c>
      <c r="AM5" s="69">
        <f t="shared" si="0"/>
        <v>2.5</v>
      </c>
    </row>
    <row r="6" spans="2:39" ht="17.399999999999999" thickBot="1" x14ac:dyDescent="0.5">
      <c r="B6" s="20" t="s">
        <v>24</v>
      </c>
      <c r="C6" s="5"/>
      <c r="D6" s="5"/>
      <c r="E6" s="25">
        <v>7.8</v>
      </c>
      <c r="H6" s="20" t="s">
        <v>108</v>
      </c>
      <c r="I6" s="5"/>
      <c r="J6" s="5"/>
      <c r="K6" s="25">
        <v>125.1</v>
      </c>
      <c r="L6" s="5"/>
      <c r="M6" s="5"/>
      <c r="N6" s="24" t="s">
        <v>87</v>
      </c>
      <c r="O6" s="4" t="s">
        <v>31</v>
      </c>
      <c r="P6" s="5"/>
      <c r="Q6" s="6"/>
      <c r="T6" s="7" t="s">
        <v>62</v>
      </c>
      <c r="U6" s="15"/>
      <c r="X6" s="25" t="s">
        <v>363</v>
      </c>
      <c r="Y6" s="4">
        <v>280</v>
      </c>
      <c r="Z6" s="24">
        <v>4.5</v>
      </c>
      <c r="AA6" s="5">
        <v>73</v>
      </c>
      <c r="AB6" s="24">
        <v>64</v>
      </c>
      <c r="AD6" s="20"/>
      <c r="AE6" s="25"/>
      <c r="AF6" s="25"/>
      <c r="AH6" s="20" t="s">
        <v>134</v>
      </c>
      <c r="AI6" s="5"/>
      <c r="AJ6" s="5"/>
      <c r="AK6" s="25">
        <v>9.6999999999999993</v>
      </c>
      <c r="AL6" s="25">
        <v>34.1</v>
      </c>
      <c r="AM6" s="69">
        <f t="shared" si="0"/>
        <v>3.5154639175257736</v>
      </c>
    </row>
    <row r="7" spans="2:39" x14ac:dyDescent="0.45">
      <c r="B7" s="20" t="s">
        <v>25</v>
      </c>
      <c r="C7" s="5"/>
      <c r="D7" s="5"/>
      <c r="E7" s="25">
        <v>6.4</v>
      </c>
      <c r="H7" s="20" t="s">
        <v>109</v>
      </c>
      <c r="I7" s="5"/>
      <c r="J7" s="5"/>
      <c r="K7" s="25">
        <v>128.69999999999999</v>
      </c>
      <c r="L7" s="5"/>
      <c r="M7" s="5"/>
      <c r="N7" s="24" t="s">
        <v>88</v>
      </c>
      <c r="O7" s="4" t="s">
        <v>32</v>
      </c>
      <c r="P7" s="5"/>
      <c r="Q7" s="6"/>
      <c r="X7" s="25" t="s">
        <v>78</v>
      </c>
      <c r="Y7" s="4">
        <v>445</v>
      </c>
      <c r="Z7" s="24">
        <v>2.2999999999999998</v>
      </c>
      <c r="AA7" s="5">
        <v>27.5</v>
      </c>
      <c r="AB7" s="24">
        <v>24.4</v>
      </c>
      <c r="AD7" s="20"/>
      <c r="AE7" s="25"/>
      <c r="AF7" s="25"/>
      <c r="AH7" s="20" t="s">
        <v>135</v>
      </c>
      <c r="AI7" s="5"/>
      <c r="AJ7" s="5"/>
      <c r="AK7" s="25">
        <v>9.6</v>
      </c>
      <c r="AL7" s="25">
        <v>23.9</v>
      </c>
      <c r="AM7" s="69">
        <f t="shared" si="0"/>
        <v>2.4895833333333335</v>
      </c>
    </row>
    <row r="8" spans="2:39" x14ac:dyDescent="0.45">
      <c r="B8" s="4" t="s">
        <v>15</v>
      </c>
      <c r="C8" s="5"/>
      <c r="D8" s="5"/>
      <c r="E8" s="24">
        <v>2.2000000000000002</v>
      </c>
      <c r="H8" s="20" t="s">
        <v>110</v>
      </c>
      <c r="I8" s="5"/>
      <c r="J8" s="5"/>
      <c r="K8" s="25">
        <v>109.3</v>
      </c>
      <c r="L8" s="5"/>
      <c r="M8" s="5"/>
      <c r="N8" s="24" t="s">
        <v>88</v>
      </c>
      <c r="O8" s="4" t="s">
        <v>33</v>
      </c>
      <c r="P8" s="5"/>
      <c r="Q8" s="6"/>
      <c r="X8" s="25" t="s">
        <v>357</v>
      </c>
      <c r="Y8" s="4">
        <v>550</v>
      </c>
      <c r="Z8" s="24">
        <v>4.5999999999999996</v>
      </c>
      <c r="AA8" s="29">
        <v>80</v>
      </c>
      <c r="AB8" s="24">
        <v>58</v>
      </c>
      <c r="AD8" s="20"/>
      <c r="AE8" s="25"/>
      <c r="AF8" s="25"/>
      <c r="AH8" s="20" t="s">
        <v>136</v>
      </c>
      <c r="AI8" s="5"/>
      <c r="AJ8" s="5"/>
      <c r="AK8" s="25">
        <v>11.3</v>
      </c>
      <c r="AL8" s="25">
        <v>39.4</v>
      </c>
      <c r="AM8" s="69">
        <f t="shared" si="0"/>
        <v>3.4867256637168138</v>
      </c>
    </row>
    <row r="9" spans="2:39" x14ac:dyDescent="0.45">
      <c r="B9" s="4" t="s">
        <v>16</v>
      </c>
      <c r="C9" s="5"/>
      <c r="D9" s="5"/>
      <c r="E9" s="24">
        <v>2.4</v>
      </c>
      <c r="H9" s="20" t="s">
        <v>111</v>
      </c>
      <c r="I9" s="5"/>
      <c r="J9" s="5"/>
      <c r="K9" s="25">
        <v>111.9</v>
      </c>
      <c r="N9" s="24" t="s">
        <v>89</v>
      </c>
      <c r="O9" s="4" t="s">
        <v>34</v>
      </c>
      <c r="P9" s="5"/>
      <c r="Q9" s="6"/>
      <c r="X9" s="25" t="s">
        <v>359</v>
      </c>
      <c r="Y9" s="4">
        <v>231</v>
      </c>
      <c r="Z9" s="24">
        <v>3.4</v>
      </c>
      <c r="AA9" s="29">
        <v>46</v>
      </c>
      <c r="AB9" s="24">
        <v>60</v>
      </c>
      <c r="AD9" s="20"/>
      <c r="AE9" s="25"/>
      <c r="AF9" s="25"/>
      <c r="AH9" s="20" t="s">
        <v>137</v>
      </c>
      <c r="AI9" s="5"/>
      <c r="AJ9" s="5"/>
      <c r="AK9" s="25">
        <v>12.7</v>
      </c>
      <c r="AL9" s="25">
        <v>50.6</v>
      </c>
      <c r="AM9" s="69">
        <f t="shared" si="0"/>
        <v>3.9842519685039375</v>
      </c>
    </row>
    <row r="10" spans="2:39" x14ac:dyDescent="0.45">
      <c r="B10" s="4" t="s">
        <v>17</v>
      </c>
      <c r="C10" s="5"/>
      <c r="D10" s="5"/>
      <c r="E10" s="24">
        <v>2.7</v>
      </c>
      <c r="H10" s="20" t="s">
        <v>112</v>
      </c>
      <c r="I10" s="5"/>
      <c r="J10" s="5"/>
      <c r="K10" s="25">
        <v>115.4</v>
      </c>
      <c r="N10" s="24"/>
      <c r="O10" s="4" t="s">
        <v>35</v>
      </c>
      <c r="P10" s="5"/>
      <c r="Q10" s="6"/>
      <c r="X10" s="25" t="s">
        <v>360</v>
      </c>
      <c r="Y10" s="4">
        <v>1918</v>
      </c>
      <c r="Z10" s="24">
        <v>11.7</v>
      </c>
      <c r="AA10" s="29">
        <v>190</v>
      </c>
      <c r="AB10" s="24">
        <v>132</v>
      </c>
      <c r="AD10" s="20"/>
      <c r="AE10" s="25"/>
      <c r="AF10" s="25"/>
      <c r="AH10" s="20" t="s">
        <v>138</v>
      </c>
      <c r="AI10" s="5"/>
      <c r="AJ10" s="5"/>
      <c r="AK10" s="25">
        <v>13.4</v>
      </c>
      <c r="AL10" s="25">
        <v>60.4</v>
      </c>
      <c r="AM10" s="69">
        <f t="shared" si="0"/>
        <v>4.5074626865671643</v>
      </c>
    </row>
    <row r="11" spans="2:39" x14ac:dyDescent="0.45">
      <c r="B11" s="4" t="s">
        <v>18</v>
      </c>
      <c r="C11" s="5"/>
      <c r="D11" s="5"/>
      <c r="E11" s="24">
        <v>3.7</v>
      </c>
      <c r="H11" s="20" t="s">
        <v>113</v>
      </c>
      <c r="I11" s="5"/>
      <c r="J11" s="5"/>
      <c r="K11" s="25">
        <v>110</v>
      </c>
      <c r="N11" s="24"/>
      <c r="O11" s="4" t="s">
        <v>36</v>
      </c>
      <c r="P11" s="5"/>
      <c r="Q11" s="6"/>
      <c r="X11" s="24" t="s">
        <v>76</v>
      </c>
      <c r="Y11" s="4">
        <v>429</v>
      </c>
      <c r="Z11" s="24">
        <v>5.3</v>
      </c>
      <c r="AA11" s="5">
        <v>84.1</v>
      </c>
      <c r="AB11" s="24">
        <v>59.4</v>
      </c>
      <c r="AD11" s="20"/>
      <c r="AE11" s="25"/>
      <c r="AF11" s="25"/>
      <c r="AH11" s="20" t="s">
        <v>140</v>
      </c>
      <c r="AI11" s="5"/>
      <c r="AJ11" s="5"/>
      <c r="AK11" s="25">
        <v>4</v>
      </c>
      <c r="AL11" s="25">
        <v>8.1</v>
      </c>
      <c r="AM11" s="69">
        <f t="shared" si="0"/>
        <v>2.0249999999999999</v>
      </c>
    </row>
    <row r="12" spans="2:39" ht="17.399999999999999" thickBot="1" x14ac:dyDescent="0.5">
      <c r="B12" s="4" t="s">
        <v>6</v>
      </c>
      <c r="C12" s="5"/>
      <c r="D12" s="5"/>
      <c r="E12" s="24">
        <v>5.4</v>
      </c>
      <c r="H12" s="20" t="s">
        <v>114</v>
      </c>
      <c r="I12" s="5"/>
      <c r="J12" s="5"/>
      <c r="K12" s="25">
        <v>112.9</v>
      </c>
      <c r="N12" s="24"/>
      <c r="O12" s="4" t="s">
        <v>37</v>
      </c>
      <c r="P12" s="5"/>
      <c r="Q12" s="6"/>
      <c r="X12" s="24" t="s">
        <v>75</v>
      </c>
      <c r="Y12" s="4">
        <v>495</v>
      </c>
      <c r="Z12" s="24">
        <v>5.5</v>
      </c>
      <c r="AA12" s="5">
        <v>86</v>
      </c>
      <c r="AB12" s="24">
        <v>61.9</v>
      </c>
      <c r="AD12" s="20"/>
      <c r="AE12" s="25"/>
      <c r="AF12" s="25"/>
      <c r="AH12" s="20" t="s">
        <v>141</v>
      </c>
      <c r="AI12" s="5"/>
      <c r="AJ12" s="5"/>
      <c r="AK12" s="25">
        <v>6</v>
      </c>
      <c r="AL12" s="25">
        <v>12</v>
      </c>
      <c r="AM12" s="69">
        <f t="shared" si="0"/>
        <v>2</v>
      </c>
    </row>
    <row r="13" spans="2:39" ht="17.399999999999999" thickBot="1" x14ac:dyDescent="0.5">
      <c r="B13" s="4" t="s">
        <v>7</v>
      </c>
      <c r="C13" s="5"/>
      <c r="D13" s="5"/>
      <c r="E13" s="24">
        <v>5.9</v>
      </c>
      <c r="H13" s="20" t="s">
        <v>115</v>
      </c>
      <c r="I13" s="5"/>
      <c r="J13" s="5"/>
      <c r="K13" s="25">
        <v>121.8</v>
      </c>
      <c r="N13" s="24"/>
      <c r="O13" s="4" t="s">
        <v>38</v>
      </c>
      <c r="P13" s="5"/>
      <c r="Q13" s="6"/>
      <c r="V13" s="13"/>
      <c r="X13" s="24" t="s">
        <v>77</v>
      </c>
      <c r="Y13" s="4">
        <v>444</v>
      </c>
      <c r="Z13" s="24">
        <v>4.7</v>
      </c>
      <c r="AA13" s="5">
        <v>73.8</v>
      </c>
      <c r="AB13" s="24">
        <v>53.5</v>
      </c>
      <c r="AD13" s="20"/>
      <c r="AE13" s="25"/>
      <c r="AF13" s="25"/>
      <c r="AH13" s="20" t="s">
        <v>142</v>
      </c>
      <c r="AI13" s="5"/>
      <c r="AJ13" s="5"/>
      <c r="AK13" s="25">
        <v>6.2</v>
      </c>
      <c r="AL13" s="25">
        <v>24.7</v>
      </c>
      <c r="AM13" s="69">
        <f t="shared" si="0"/>
        <v>3.9838709677419351</v>
      </c>
    </row>
    <row r="14" spans="2:39" ht="17.399999999999999" thickBot="1" x14ac:dyDescent="0.5">
      <c r="B14" s="7" t="s">
        <v>8</v>
      </c>
      <c r="C14" s="8"/>
      <c r="D14" s="8"/>
      <c r="E14" s="15">
        <v>6</v>
      </c>
      <c r="H14" s="20" t="s">
        <v>103</v>
      </c>
      <c r="I14" s="5"/>
      <c r="J14" s="5"/>
      <c r="K14" s="25">
        <v>137.69999999999999</v>
      </c>
      <c r="N14" s="24"/>
      <c r="O14" s="4" t="s">
        <v>39</v>
      </c>
      <c r="P14" s="5"/>
      <c r="Q14" s="6"/>
      <c r="X14" s="25" t="s">
        <v>355</v>
      </c>
      <c r="Y14" s="4">
        <v>3015</v>
      </c>
      <c r="Z14" s="24">
        <v>15.8</v>
      </c>
      <c r="AA14" s="29">
        <v>260</v>
      </c>
      <c r="AB14" s="24">
        <v>160</v>
      </c>
      <c r="AD14" s="20"/>
      <c r="AE14" s="25"/>
      <c r="AF14" s="25"/>
      <c r="AH14" s="20" t="s">
        <v>143</v>
      </c>
      <c r="AI14" s="5"/>
      <c r="AJ14" s="5"/>
      <c r="AK14" s="25">
        <v>11.1</v>
      </c>
      <c r="AL14" s="25">
        <v>44.2</v>
      </c>
      <c r="AM14" s="69">
        <f t="shared" si="0"/>
        <v>3.9819819819819822</v>
      </c>
    </row>
    <row r="15" spans="2:39" x14ac:dyDescent="0.45">
      <c r="B15" s="1" t="s">
        <v>10</v>
      </c>
      <c r="C15" s="2"/>
      <c r="D15" s="2"/>
      <c r="E15" s="14">
        <v>6.8</v>
      </c>
      <c r="G15" t="s">
        <v>117</v>
      </c>
      <c r="H15" s="20" t="s">
        <v>104</v>
      </c>
      <c r="I15" s="5"/>
      <c r="J15" s="5"/>
      <c r="K15" s="25">
        <v>125.7</v>
      </c>
      <c r="N15" s="24"/>
      <c r="O15" s="4" t="s">
        <v>40</v>
      </c>
      <c r="P15" s="5"/>
      <c r="Q15" s="6"/>
      <c r="X15" s="25" t="s">
        <v>356</v>
      </c>
      <c r="Y15" s="4">
        <v>1855</v>
      </c>
      <c r="Z15" s="24">
        <v>11.7</v>
      </c>
      <c r="AA15" s="29">
        <v>190</v>
      </c>
      <c r="AB15" s="24">
        <v>132</v>
      </c>
      <c r="AD15" s="20"/>
      <c r="AE15" s="25"/>
      <c r="AF15" s="25"/>
      <c r="AH15" s="20" t="s">
        <v>145</v>
      </c>
      <c r="AI15" s="5"/>
      <c r="AJ15" s="5"/>
      <c r="AK15" s="25">
        <v>19.399999999999999</v>
      </c>
      <c r="AL15" s="25">
        <v>23.2</v>
      </c>
      <c r="AM15" s="69">
        <f t="shared" si="0"/>
        <v>1.1958762886597938</v>
      </c>
    </row>
    <row r="16" spans="2:39" x14ac:dyDescent="0.45">
      <c r="B16" s="4" t="s">
        <v>11</v>
      </c>
      <c r="C16" s="5"/>
      <c r="D16" s="5"/>
      <c r="E16" s="24">
        <v>5.8</v>
      </c>
      <c r="H16" s="20" t="s">
        <v>105</v>
      </c>
      <c r="I16" s="5"/>
      <c r="J16" s="5"/>
      <c r="K16" s="25">
        <v>127.1</v>
      </c>
      <c r="N16" s="24"/>
      <c r="O16" s="4" t="s">
        <v>41</v>
      </c>
      <c r="P16" s="5"/>
      <c r="Q16" s="6"/>
      <c r="X16" s="25" t="s">
        <v>362</v>
      </c>
      <c r="Y16" s="4">
        <v>453</v>
      </c>
      <c r="Z16" s="24">
        <v>4.5</v>
      </c>
      <c r="AA16" s="29">
        <v>73</v>
      </c>
      <c r="AB16" s="24">
        <v>64</v>
      </c>
      <c r="AD16" s="20"/>
      <c r="AE16" s="25"/>
      <c r="AF16" s="25"/>
      <c r="AH16" s="20" t="s">
        <v>144</v>
      </c>
      <c r="AI16" s="5"/>
      <c r="AJ16" s="5"/>
      <c r="AK16" s="25">
        <v>17.600000000000001</v>
      </c>
      <c r="AL16" s="25">
        <v>29.9</v>
      </c>
      <c r="AM16" s="69">
        <f t="shared" si="0"/>
        <v>1.6988636363636362</v>
      </c>
    </row>
    <row r="17" spans="2:39" ht="17.399999999999999" thickBot="1" x14ac:dyDescent="0.5">
      <c r="B17" s="4" t="s">
        <v>12</v>
      </c>
      <c r="C17" s="5"/>
      <c r="D17" s="5"/>
      <c r="E17" s="24">
        <v>5.5</v>
      </c>
      <c r="H17" s="17" t="s">
        <v>106</v>
      </c>
      <c r="I17" s="8"/>
      <c r="J17" s="8"/>
      <c r="K17" s="26">
        <v>139.30000000000001</v>
      </c>
      <c r="N17" s="24"/>
      <c r="O17" s="4" t="s">
        <v>42</v>
      </c>
      <c r="P17" s="5"/>
      <c r="Q17" s="6"/>
      <c r="X17" s="26" t="s">
        <v>358</v>
      </c>
      <c r="Y17" s="7">
        <v>381</v>
      </c>
      <c r="Z17" s="15">
        <v>4.5999999999999996</v>
      </c>
      <c r="AA17" s="45">
        <v>80</v>
      </c>
      <c r="AB17" s="15">
        <v>58</v>
      </c>
      <c r="AD17" s="17"/>
      <c r="AE17" s="26"/>
      <c r="AF17" s="26"/>
      <c r="AH17" s="20" t="s">
        <v>146</v>
      </c>
      <c r="AI17" s="5"/>
      <c r="AJ17" s="5"/>
      <c r="AK17" s="25">
        <v>18</v>
      </c>
      <c r="AL17" s="25">
        <v>48.5</v>
      </c>
      <c r="AM17" s="69">
        <f t="shared" si="0"/>
        <v>2.6944444444444446</v>
      </c>
    </row>
    <row r="18" spans="2:39" ht="17.399999999999999" thickBot="1" x14ac:dyDescent="0.5">
      <c r="B18" s="7" t="s">
        <v>12</v>
      </c>
      <c r="C18" s="8"/>
      <c r="D18" s="8"/>
      <c r="E18" s="15">
        <v>4.4000000000000004</v>
      </c>
      <c r="N18" s="24"/>
      <c r="O18" s="4" t="s">
        <v>43</v>
      </c>
      <c r="P18" s="5"/>
      <c r="Q18" s="6"/>
      <c r="X18" s="29"/>
      <c r="Y18" s="5"/>
      <c r="Z18" s="5"/>
      <c r="AA18" s="5"/>
      <c r="AB18" s="5"/>
      <c r="AH18" s="20" t="s">
        <v>147</v>
      </c>
      <c r="AI18" s="5"/>
      <c r="AJ18" s="5"/>
      <c r="AK18" s="25">
        <v>17.3</v>
      </c>
      <c r="AL18" s="25">
        <v>55.2</v>
      </c>
      <c r="AM18" s="69">
        <f t="shared" ref="AM18:AM23" si="1">IF(AK18="","",AL18/AK18)</f>
        <v>3.1907514450867054</v>
      </c>
    </row>
    <row r="19" spans="2:39" x14ac:dyDescent="0.45">
      <c r="N19" s="24"/>
      <c r="O19" s="4" t="s">
        <v>44</v>
      </c>
      <c r="P19" s="5"/>
      <c r="Q19" s="6"/>
      <c r="AH19" s="20" t="s">
        <v>148</v>
      </c>
      <c r="AI19" s="5"/>
      <c r="AJ19" s="5"/>
      <c r="AK19" s="25">
        <v>18.7</v>
      </c>
      <c r="AL19" s="25">
        <v>50.4</v>
      </c>
      <c r="AM19" s="69">
        <f t="shared" si="1"/>
        <v>2.6951871657754012</v>
      </c>
    </row>
    <row r="20" spans="2:39" x14ac:dyDescent="0.45">
      <c r="N20" s="24"/>
      <c r="O20" s="4" t="s">
        <v>45</v>
      </c>
      <c r="P20" s="5"/>
      <c r="Q20" s="6"/>
      <c r="AH20" s="20" t="s">
        <v>149</v>
      </c>
      <c r="AI20" s="5"/>
      <c r="AJ20" s="5"/>
      <c r="AK20" s="25">
        <v>17.7</v>
      </c>
      <c r="AL20" s="25">
        <v>35.4</v>
      </c>
      <c r="AM20" s="69">
        <f t="shared" si="1"/>
        <v>2</v>
      </c>
    </row>
    <row r="21" spans="2:39" x14ac:dyDescent="0.45">
      <c r="N21" s="24"/>
      <c r="O21" s="4" t="s">
        <v>46</v>
      </c>
      <c r="P21" s="5"/>
      <c r="Q21" s="6"/>
      <c r="AH21" s="20" t="s">
        <v>150</v>
      </c>
      <c r="AI21" s="5"/>
      <c r="AJ21" s="5"/>
      <c r="AK21" s="25">
        <v>13</v>
      </c>
      <c r="AL21" s="25">
        <v>45.6</v>
      </c>
      <c r="AM21" s="69">
        <f t="shared" si="1"/>
        <v>3.5076923076923077</v>
      </c>
    </row>
    <row r="22" spans="2:39" x14ac:dyDescent="0.45">
      <c r="N22" s="24"/>
      <c r="O22" s="4" t="s">
        <v>47</v>
      </c>
      <c r="P22" s="5"/>
      <c r="Q22" s="6"/>
      <c r="AH22" s="20" t="s">
        <v>151</v>
      </c>
      <c r="AI22" s="5"/>
      <c r="AJ22" s="5"/>
      <c r="AK22" s="25">
        <v>12</v>
      </c>
      <c r="AL22" s="25">
        <v>54</v>
      </c>
      <c r="AM22" s="69">
        <f t="shared" si="1"/>
        <v>4.5</v>
      </c>
    </row>
    <row r="23" spans="2:39" ht="17.399999999999999" thickBot="1" x14ac:dyDescent="0.5">
      <c r="N23" s="24"/>
      <c r="O23" s="4" t="s">
        <v>48</v>
      </c>
      <c r="P23" s="5"/>
      <c r="Q23" s="6"/>
      <c r="AH23" s="17"/>
      <c r="AI23" s="8"/>
      <c r="AJ23" s="8"/>
      <c r="AK23" s="26"/>
      <c r="AL23" s="26"/>
      <c r="AM23" s="70" t="str">
        <f t="shared" si="1"/>
        <v/>
      </c>
    </row>
    <row r="24" spans="2:39" x14ac:dyDescent="0.45">
      <c r="N24" s="24"/>
      <c r="O24" s="4" t="s">
        <v>49</v>
      </c>
      <c r="P24" s="5"/>
      <c r="Q24" s="6"/>
    </row>
    <row r="25" spans="2:39" x14ac:dyDescent="0.45">
      <c r="N25" s="24"/>
      <c r="O25" s="4" t="s">
        <v>50</v>
      </c>
      <c r="P25" s="5"/>
      <c r="Q25" s="6"/>
    </row>
    <row r="26" spans="2:39" x14ac:dyDescent="0.45">
      <c r="N26" s="24"/>
      <c r="O26" s="4" t="s">
        <v>51</v>
      </c>
      <c r="P26" s="5"/>
      <c r="Q26" s="6"/>
    </row>
    <row r="27" spans="2:39" x14ac:dyDescent="0.45">
      <c r="N27" s="24"/>
      <c r="O27" s="4" t="s">
        <v>52</v>
      </c>
      <c r="P27" s="5"/>
      <c r="Q27" s="6"/>
    </row>
    <row r="28" spans="2:39" x14ac:dyDescent="0.45">
      <c r="N28" s="24"/>
      <c r="O28" s="4" t="s">
        <v>53</v>
      </c>
      <c r="P28" s="5"/>
      <c r="Q28" s="6"/>
    </row>
    <row r="29" spans="2:39" x14ac:dyDescent="0.45">
      <c r="N29" s="24"/>
      <c r="O29" s="4" t="s">
        <v>54</v>
      </c>
      <c r="P29" s="5"/>
      <c r="Q29" s="6"/>
    </row>
    <row r="30" spans="2:39" x14ac:dyDescent="0.45">
      <c r="N30" s="24"/>
      <c r="O30" s="4" t="s">
        <v>55</v>
      </c>
      <c r="P30" s="5"/>
      <c r="Q30" s="6"/>
    </row>
    <row r="31" spans="2:39" ht="17.399999999999999" thickBot="1" x14ac:dyDescent="0.5">
      <c r="N31" s="15"/>
      <c r="O31" s="7" t="s">
        <v>56</v>
      </c>
      <c r="P31" s="8"/>
      <c r="Q31" s="9"/>
    </row>
  </sheetData>
  <sheetProtection sheet="1" objects="1" scenarios="1"/>
  <sortState xmlns:xlrd2="http://schemas.microsoft.com/office/spreadsheetml/2017/richdata2" ref="B2:E18">
    <sortCondition ref="B2"/>
  </sortState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Footer>&amp;L&amp;D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 tint="-0.249977111117893"/>
  </sheetPr>
  <dimension ref="A2:K23"/>
  <sheetViews>
    <sheetView zoomScaleNormal="100" workbookViewId="0">
      <selection activeCell="D3" sqref="D3"/>
    </sheetView>
  </sheetViews>
  <sheetFormatPr baseColWidth="10" defaultRowHeight="16.8" x14ac:dyDescent="0.45"/>
  <cols>
    <col min="1" max="1" width="5" customWidth="1"/>
    <col min="4" max="4" width="38.109375" customWidth="1"/>
    <col min="5" max="5" width="15" customWidth="1"/>
    <col min="6" max="6" width="13" customWidth="1"/>
    <col min="7" max="7" width="17" customWidth="1"/>
    <col min="8" max="8" width="7.109375" customWidth="1"/>
  </cols>
  <sheetData>
    <row r="2" spans="1:11" ht="36.75" customHeight="1" x14ac:dyDescent="0.65">
      <c r="B2" s="198" t="s">
        <v>339</v>
      </c>
    </row>
    <row r="3" spans="1:11" x14ac:dyDescent="0.45">
      <c r="B3" t="s">
        <v>190</v>
      </c>
      <c r="D3" t="str">
        <f>Paramètres!C23</f>
        <v>SCEA DUPONT</v>
      </c>
    </row>
    <row r="6" spans="1:11" x14ac:dyDescent="0.45">
      <c r="B6" t="s">
        <v>269</v>
      </c>
      <c r="F6" s="100">
        <v>100</v>
      </c>
      <c r="G6" t="s">
        <v>231</v>
      </c>
    </row>
    <row r="7" spans="1:11" x14ac:dyDescent="0.45">
      <c r="B7" t="s">
        <v>268</v>
      </c>
      <c r="F7" s="100">
        <v>150</v>
      </c>
      <c r="G7" t="s">
        <v>230</v>
      </c>
    </row>
    <row r="8" spans="1:11" ht="17.399999999999999" thickBot="1" x14ac:dyDescent="0.5">
      <c r="B8" t="s">
        <v>270</v>
      </c>
      <c r="F8" s="241">
        <f>IF(F7=0,F6,F6/F7)</f>
        <v>0.66666666666666663</v>
      </c>
      <c r="G8" t="s">
        <v>232</v>
      </c>
    </row>
    <row r="9" spans="1:11" ht="34.799999999999997" thickTop="1" thickBot="1" x14ac:dyDescent="0.5">
      <c r="A9" s="206"/>
      <c r="B9" s="207" t="s">
        <v>271</v>
      </c>
      <c r="C9" s="207"/>
      <c r="D9" s="207"/>
      <c r="E9" s="208" t="s">
        <v>285</v>
      </c>
      <c r="F9" s="208" t="s">
        <v>286</v>
      </c>
      <c r="G9" s="209" t="s">
        <v>287</v>
      </c>
      <c r="H9" s="197"/>
      <c r="I9" s="197"/>
      <c r="J9" s="197"/>
      <c r="K9" s="197"/>
    </row>
    <row r="10" spans="1:11" x14ac:dyDescent="0.45">
      <c r="A10" s="200">
        <v>1</v>
      </c>
      <c r="B10" s="5" t="str">
        <f>'1. Culture bas intrants N'!B3</f>
        <v>Introduction de cultures à faible besoin azoté</v>
      </c>
      <c r="C10" s="5"/>
      <c r="D10" s="5"/>
      <c r="E10" s="5">
        <f>'1. Culture bas intrants N'!D4</f>
        <v>10</v>
      </c>
      <c r="F10" s="237">
        <f>'1. Culture bas intrants N'!D24</f>
        <v>-355.4</v>
      </c>
      <c r="G10" s="238">
        <f>'1. Culture bas intrants N'!D25</f>
        <v>-3554</v>
      </c>
    </row>
    <row r="11" spans="1:11" x14ac:dyDescent="0.45">
      <c r="A11" s="201">
        <f>A10+1</f>
        <v>2</v>
      </c>
      <c r="B11" s="5" t="str">
        <f>'2. Substitution EM par EO'!B3</f>
        <v>Substitution des engrais minéraux par des engrais organiques</v>
      </c>
      <c r="C11" s="5"/>
      <c r="D11" s="5"/>
      <c r="E11" s="5">
        <f>'2. Substitution EM par EO'!D4</f>
        <v>80</v>
      </c>
      <c r="F11" s="237">
        <f>'2. Substitution EM par EO'!D23</f>
        <v>-11.075000000000003</v>
      </c>
      <c r="G11" s="238">
        <f>'2. Substitution EM par EO'!D24</f>
        <v>-886.00000000000023</v>
      </c>
    </row>
    <row r="12" spans="1:11" x14ac:dyDescent="0.45">
      <c r="A12" s="202">
        <f t="shared" ref="A12:A19" si="0">A11+1</f>
        <v>3</v>
      </c>
      <c r="B12" s="5" t="str">
        <f>'3. Substition N liq-sol-inhib'!B3</f>
        <v>Substitution de l'azote liquide par de l'ammonitrate et utilisation d'inhibiteurs</v>
      </c>
      <c r="C12" s="5"/>
      <c r="D12" s="5"/>
      <c r="E12" s="5">
        <f>'3. Substition N liq-sol-inhib'!D4</f>
        <v>100</v>
      </c>
      <c r="F12" s="237">
        <f>'3. Substition N liq-sol-inhib'!D15</f>
        <v>1.9717948717948328</v>
      </c>
      <c r="G12" s="238">
        <f>'3. Substition N liq-sol-inhib'!D16</f>
        <v>197.17948717948329</v>
      </c>
    </row>
    <row r="13" spans="1:11" x14ac:dyDescent="0.45">
      <c r="A13" s="203">
        <f t="shared" si="0"/>
        <v>4</v>
      </c>
      <c r="B13" s="5" t="str">
        <f>'4. Interculture'!E3</f>
        <v>Implantation d'une interculture</v>
      </c>
      <c r="C13" s="5"/>
      <c r="D13" s="5"/>
      <c r="E13" s="5">
        <f>'4. Interculture'!F4</f>
        <v>25</v>
      </c>
      <c r="F13" s="237">
        <f>'4. Interculture'!F27</f>
        <v>8.3345337244206377</v>
      </c>
      <c r="G13" s="238">
        <f>'4. Interculture'!F28</f>
        <v>208.36334311051593</v>
      </c>
    </row>
    <row r="14" spans="1:11" x14ac:dyDescent="0.45">
      <c r="A14" s="204">
        <f t="shared" si="0"/>
        <v>5</v>
      </c>
      <c r="B14" s="5" t="str">
        <f>'5. Haie'!E3</f>
        <v>Implantation d'une haie</v>
      </c>
      <c r="C14" s="5"/>
      <c r="D14" s="5"/>
      <c r="E14" s="5">
        <f>'5. Haie'!G4</f>
        <v>0.48</v>
      </c>
      <c r="F14" s="237">
        <f>'5. Haie'!G32</f>
        <v>-2415.5215670016751</v>
      </c>
      <c r="G14" s="238">
        <f>'5. Haie'!G33</f>
        <v>-1159.450352160804</v>
      </c>
    </row>
    <row r="15" spans="1:11" x14ac:dyDescent="0.45">
      <c r="A15" s="202">
        <f t="shared" si="0"/>
        <v>6</v>
      </c>
      <c r="B15" s="5" t="str">
        <f>'6. Restitut° des pailles'!B3</f>
        <v>Restitution des pailles</v>
      </c>
      <c r="C15" s="5"/>
      <c r="D15" s="5"/>
      <c r="E15" s="5">
        <f>'6. Restitut° des pailles'!C23</f>
        <v>35</v>
      </c>
      <c r="F15" s="237">
        <f>'6. Restitut° des pailles'!D36</f>
        <v>-90.234379474264287</v>
      </c>
      <c r="G15" s="238">
        <f>'6. Restitut° des pailles'!D37</f>
        <v>-3158.2032815992502</v>
      </c>
    </row>
    <row r="16" spans="1:11" x14ac:dyDescent="0.45">
      <c r="A16" s="205">
        <f t="shared" si="0"/>
        <v>7</v>
      </c>
      <c r="B16" s="5" t="str">
        <f>'7. Pilotage de l''N'!B3</f>
        <v>Pilotage de l'azote</v>
      </c>
      <c r="C16" s="5"/>
      <c r="D16" s="5"/>
      <c r="E16" s="5">
        <f>'7. Pilotage de l''N'!B4</f>
        <v>50</v>
      </c>
      <c r="F16" s="237">
        <f>'7. Pilotage de l''N'!H13</f>
        <v>29.819962686567123</v>
      </c>
      <c r="G16" s="238">
        <f>'7. Pilotage de l''N'!I13</f>
        <v>1490.9981343283562</v>
      </c>
    </row>
    <row r="17" spans="1:8" x14ac:dyDescent="0.45">
      <c r="A17" s="205">
        <f t="shared" si="0"/>
        <v>8</v>
      </c>
      <c r="B17" s="5" t="str">
        <f>'8. Prairie temporaire'!B3</f>
        <v>Augmentation des prairie temporaires sur terres labourables</v>
      </c>
      <c r="C17" s="5"/>
      <c r="D17" s="5"/>
      <c r="E17" s="5">
        <f>'8. Prairie temporaire'!D4</f>
        <v>10</v>
      </c>
      <c r="F17" s="178">
        <f>'8. Prairie temporaire'!D24</f>
        <v>-1528.4</v>
      </c>
      <c r="G17" s="274">
        <f>'8. Prairie temporaire'!D25</f>
        <v>-15284</v>
      </c>
    </row>
    <row r="18" spans="1:8" x14ac:dyDescent="0.45">
      <c r="A18" s="205">
        <f t="shared" si="0"/>
        <v>9</v>
      </c>
      <c r="B18" s="122" t="s">
        <v>350</v>
      </c>
      <c r="C18" s="122"/>
      <c r="D18" s="122"/>
      <c r="E18" s="122"/>
      <c r="F18" s="212"/>
      <c r="G18" s="275"/>
    </row>
    <row r="19" spans="1:8" ht="17.399999999999999" thickBot="1" x14ac:dyDescent="0.5">
      <c r="A19" s="205">
        <f t="shared" si="0"/>
        <v>10</v>
      </c>
      <c r="B19" s="122"/>
      <c r="C19" s="122"/>
      <c r="D19" s="122"/>
      <c r="E19" s="122"/>
      <c r="F19" s="212"/>
      <c r="G19" s="275"/>
    </row>
    <row r="20" spans="1:8" s="164" customFormat="1" ht="18.600000000000001" thickBot="1" x14ac:dyDescent="0.55000000000000004">
      <c r="A20" s="210"/>
      <c r="B20" s="211" t="s">
        <v>288</v>
      </c>
      <c r="C20" s="211"/>
      <c r="D20" s="211"/>
      <c r="E20" s="211"/>
      <c r="F20" s="213"/>
      <c r="G20" s="239">
        <f>SUM(G10:G19)</f>
        <v>-22145.112669141698</v>
      </c>
      <c r="H20" s="164" t="s">
        <v>233</v>
      </c>
    </row>
    <row r="21" spans="1:8" ht="18" thickTop="1" thickBot="1" x14ac:dyDescent="0.5"/>
    <row r="22" spans="1:8" s="198" customFormat="1" ht="28.2" thickTop="1" thickBot="1" x14ac:dyDescent="0.7">
      <c r="A22" s="214"/>
      <c r="B22" s="215" t="s">
        <v>290</v>
      </c>
      <c r="C22" s="215"/>
      <c r="D22" s="215"/>
      <c r="E22" s="215"/>
      <c r="F22" s="215"/>
      <c r="G22" s="240">
        <f>G20/F6</f>
        <v>-221.45112669141699</v>
      </c>
      <c r="H22" s="216" t="s">
        <v>195</v>
      </c>
    </row>
    <row r="23" spans="1:8" ht="17.399999999999999" thickTop="1" x14ac:dyDescent="0.45"/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headerFooter>
    <oddFooter>&amp;L&amp;D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59999389629810485"/>
  </sheetPr>
  <dimension ref="A1:E26"/>
  <sheetViews>
    <sheetView zoomScaleNormal="100" workbookViewId="0"/>
  </sheetViews>
  <sheetFormatPr baseColWidth="10" defaultRowHeight="16.8" x14ac:dyDescent="0.45"/>
  <cols>
    <col min="1" max="1" width="12.5546875" customWidth="1"/>
    <col min="2" max="2" width="22.5546875" customWidth="1"/>
    <col min="3" max="3" width="20" customWidth="1"/>
    <col min="5" max="5" width="19.6640625" customWidth="1"/>
  </cols>
  <sheetData>
    <row r="1" spans="1:5" x14ac:dyDescent="0.45">
      <c r="A1" t="str">
        <f>Paramètres!C23</f>
        <v>SCEA DUPONT</v>
      </c>
    </row>
    <row r="2" spans="1:5" ht="17.399999999999999" thickBot="1" x14ac:dyDescent="0.5"/>
    <row r="3" spans="1:5" ht="17.399999999999999" thickBot="1" x14ac:dyDescent="0.5">
      <c r="A3" s="53" t="s">
        <v>281</v>
      </c>
      <c r="B3" s="51" t="s">
        <v>264</v>
      </c>
      <c r="C3" s="49"/>
      <c r="D3" s="49"/>
      <c r="E3" s="50"/>
    </row>
    <row r="4" spans="1:5" ht="17.399999999999999" thickBot="1" x14ac:dyDescent="0.5">
      <c r="A4" s="29"/>
      <c r="B4" s="16" t="s">
        <v>272</v>
      </c>
      <c r="C4" s="19"/>
      <c r="D4" s="253">
        <v>10</v>
      </c>
      <c r="E4" s="34"/>
    </row>
    <row r="5" spans="1:5" ht="17.399999999999999" thickBot="1" x14ac:dyDescent="0.5">
      <c r="B5" s="282" t="s">
        <v>351</v>
      </c>
      <c r="C5" s="255" t="s">
        <v>73</v>
      </c>
      <c r="D5" s="283" t="s">
        <v>352</v>
      </c>
      <c r="E5" s="255" t="s">
        <v>357</v>
      </c>
    </row>
    <row r="6" spans="1:5" x14ac:dyDescent="0.45">
      <c r="B6" s="1" t="s">
        <v>66</v>
      </c>
      <c r="C6" s="254">
        <v>9</v>
      </c>
      <c r="D6" s="2"/>
      <c r="E6" s="254">
        <v>4</v>
      </c>
    </row>
    <row r="7" spans="1:5" x14ac:dyDescent="0.45">
      <c r="B7" s="4" t="s">
        <v>57</v>
      </c>
      <c r="C7" s="184">
        <v>250</v>
      </c>
      <c r="D7" s="5"/>
      <c r="E7" s="184">
        <v>350</v>
      </c>
    </row>
    <row r="8" spans="1:5" x14ac:dyDescent="0.45">
      <c r="B8" s="28" t="s">
        <v>67</v>
      </c>
      <c r="C8" s="184">
        <v>1000</v>
      </c>
      <c r="D8" s="5"/>
      <c r="E8" s="184">
        <v>800</v>
      </c>
    </row>
    <row r="9" spans="1:5" x14ac:dyDescent="0.45">
      <c r="B9" s="4" t="s">
        <v>68</v>
      </c>
      <c r="C9" s="184"/>
      <c r="D9" s="5"/>
      <c r="E9" s="184">
        <v>150</v>
      </c>
    </row>
    <row r="10" spans="1:5" x14ac:dyDescent="0.45">
      <c r="B10" s="28" t="s">
        <v>69</v>
      </c>
      <c r="C10" s="184">
        <f>C6*C7+C9-C8</f>
        <v>1250</v>
      </c>
      <c r="D10" s="5"/>
      <c r="E10" s="184">
        <f>E6*E7+E9-E8</f>
        <v>750</v>
      </c>
    </row>
    <row r="11" spans="1:5" x14ac:dyDescent="0.45">
      <c r="B11" s="4" t="s">
        <v>70</v>
      </c>
      <c r="C11" s="184"/>
      <c r="D11" s="5"/>
      <c r="E11" s="184">
        <f>0.3*250</f>
        <v>75</v>
      </c>
    </row>
    <row r="12" spans="1:5" ht="17.399999999999999" thickBot="1" x14ac:dyDescent="0.5">
      <c r="B12" s="4" t="s">
        <v>71</v>
      </c>
      <c r="C12" s="137"/>
      <c r="D12" s="5"/>
      <c r="E12" s="184">
        <v>30</v>
      </c>
    </row>
    <row r="13" spans="1:5" ht="17.399999999999999" thickBot="1" x14ac:dyDescent="0.5">
      <c r="B13" s="16" t="s">
        <v>97</v>
      </c>
      <c r="C13" s="58">
        <f>C10+C11+C12</f>
        <v>1250</v>
      </c>
      <c r="D13" s="18"/>
      <c r="E13" s="58">
        <f>E10+E11+E12</f>
        <v>855</v>
      </c>
    </row>
    <row r="14" spans="1:5" ht="17.399999999999999" thickBot="1" x14ac:dyDescent="0.5">
      <c r="B14" s="54" t="s">
        <v>19</v>
      </c>
      <c r="C14" s="56"/>
      <c r="D14" s="59">
        <f>E13-C13</f>
        <v>-395</v>
      </c>
      <c r="E14" s="61"/>
    </row>
    <row r="15" spans="1:5" ht="17.399999999999999" thickBot="1" x14ac:dyDescent="0.5">
      <c r="B15" s="21"/>
      <c r="C15" s="18"/>
      <c r="D15" s="18"/>
      <c r="E15" s="19"/>
    </row>
    <row r="16" spans="1:5" x14ac:dyDescent="0.45">
      <c r="B16" s="35" t="s">
        <v>101</v>
      </c>
      <c r="C16" s="39">
        <f>VLOOKUP($C$5,Table_Cultures,3)</f>
        <v>5.6</v>
      </c>
      <c r="D16" s="39"/>
      <c r="E16" s="39">
        <f>VLOOKUP($E$5,Table_Cultures,3)</f>
        <v>4.5999999999999996</v>
      </c>
    </row>
    <row r="17" spans="2:5" ht="17.399999999999999" thickBot="1" x14ac:dyDescent="0.5">
      <c r="B17" s="43" t="s">
        <v>98</v>
      </c>
      <c r="C17" s="44">
        <f>C16*Paramètres!C26</f>
        <v>112</v>
      </c>
      <c r="D17" s="45"/>
      <c r="E17" s="44">
        <f>E16*Paramètres!C26</f>
        <v>92</v>
      </c>
    </row>
    <row r="18" spans="2:5" x14ac:dyDescent="0.45">
      <c r="B18" s="35" t="s">
        <v>100</v>
      </c>
      <c r="C18" s="46">
        <f>VLOOKUP($C$5,Table_Cultures,4)</f>
        <v>85.4</v>
      </c>
      <c r="D18" s="46"/>
      <c r="E18" s="46">
        <f>VLOOKUP($E$5,Table_Cultures,4)</f>
        <v>80</v>
      </c>
    </row>
    <row r="19" spans="2:5" ht="17.399999999999999" thickBot="1" x14ac:dyDescent="0.5">
      <c r="B19" s="43" t="s">
        <v>98</v>
      </c>
      <c r="C19" s="47">
        <f>C18*Paramètres!C27</f>
        <v>128.10000000000002</v>
      </c>
      <c r="D19" s="45"/>
      <c r="E19" s="47">
        <f>E18*Paramètres!C27</f>
        <v>120</v>
      </c>
    </row>
    <row r="20" spans="2:5" ht="17.399999999999999" thickBot="1" x14ac:dyDescent="0.5">
      <c r="B20" s="66" t="s">
        <v>99</v>
      </c>
      <c r="C20" s="67">
        <f>VLOOKUP($C$5,Table_Cultures,5)</f>
        <v>69.5</v>
      </c>
      <c r="D20" s="67"/>
      <c r="E20" s="67">
        <f>VLOOKUP($E$5,Table_Cultures,5)</f>
        <v>58</v>
      </c>
    </row>
    <row r="21" spans="2:5" ht="17.399999999999999" thickBot="1" x14ac:dyDescent="0.5">
      <c r="B21" s="41" t="s">
        <v>185</v>
      </c>
      <c r="C21" s="256">
        <v>0</v>
      </c>
      <c r="D21" s="29"/>
      <c r="E21" s="256"/>
    </row>
    <row r="22" spans="2:5" ht="17.399999999999999" thickBot="1" x14ac:dyDescent="0.5">
      <c r="B22" s="21" t="s">
        <v>91</v>
      </c>
      <c r="C22" s="60">
        <f>C17+C19+C20+C21</f>
        <v>309.60000000000002</v>
      </c>
      <c r="D22" s="11"/>
      <c r="E22" s="60">
        <f>E17+E19+E20+E21</f>
        <v>270</v>
      </c>
    </row>
    <row r="23" spans="2:5" ht="17.399999999999999" thickBot="1" x14ac:dyDescent="0.5">
      <c r="B23" s="55" t="s">
        <v>19</v>
      </c>
      <c r="C23" s="57"/>
      <c r="D23" s="63">
        <f>C22-E22</f>
        <v>39.600000000000023</v>
      </c>
      <c r="E23" s="62"/>
    </row>
    <row r="24" spans="2:5" ht="17.399999999999999" thickBot="1" x14ac:dyDescent="0.5">
      <c r="B24" s="21" t="s">
        <v>274</v>
      </c>
      <c r="C24" s="22"/>
      <c r="D24" s="64">
        <f>D14+D23</f>
        <v>-355.4</v>
      </c>
      <c r="E24" s="23"/>
    </row>
    <row r="25" spans="2:5" ht="17.399999999999999" thickBot="1" x14ac:dyDescent="0.5">
      <c r="B25" s="21" t="s">
        <v>276</v>
      </c>
      <c r="C25" s="22"/>
      <c r="D25" s="64">
        <f>D24*D4</f>
        <v>-3554</v>
      </c>
      <c r="E25" s="23"/>
    </row>
    <row r="26" spans="2:5" ht="17.399999999999999" thickBot="1" x14ac:dyDescent="0.5">
      <c r="B26" s="27" t="s">
        <v>291</v>
      </c>
      <c r="C26" s="11"/>
      <c r="D26" s="11"/>
      <c r="E26" s="12"/>
    </row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Footer>&amp;L&amp;D</oddFooter>
  </headerFooter>
  <legacy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listes!$X$2:$X$17</xm:f>
          </x14:formula1>
          <xm:sqref>E5 C5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</sheetPr>
  <dimension ref="A1:N25"/>
  <sheetViews>
    <sheetView zoomScaleNormal="100" workbookViewId="0"/>
  </sheetViews>
  <sheetFormatPr baseColWidth="10" defaultRowHeight="16.8" x14ac:dyDescent="0.45"/>
  <cols>
    <col min="1" max="1" width="13.5546875" customWidth="1"/>
    <col min="2" max="2" width="16.109375" customWidth="1"/>
    <col min="3" max="3" width="27.44140625" customWidth="1"/>
    <col min="5" max="5" width="26.109375" customWidth="1"/>
    <col min="6" max="6" width="13.5546875" customWidth="1"/>
  </cols>
  <sheetData>
    <row r="1" spans="1:14" x14ac:dyDescent="0.45">
      <c r="A1" t="str">
        <f>Paramètres!C23</f>
        <v>SCEA DUPONT</v>
      </c>
    </row>
    <row r="2" spans="1:14" ht="17.399999999999999" thickBot="1" x14ac:dyDescent="0.5">
      <c r="A2" s="42"/>
      <c r="B2" s="42"/>
      <c r="C2" s="5"/>
      <c r="D2" s="29"/>
    </row>
    <row r="3" spans="1:14" ht="17.399999999999999" thickBot="1" x14ac:dyDescent="0.5">
      <c r="A3" s="135" t="s">
        <v>289</v>
      </c>
      <c r="B3" s="51" t="s">
        <v>265</v>
      </c>
      <c r="C3" s="49"/>
      <c r="D3" s="49"/>
      <c r="E3" s="50"/>
    </row>
    <row r="4" spans="1:14" ht="17.399999999999999" thickBot="1" x14ac:dyDescent="0.5">
      <c r="A4" s="29"/>
      <c r="B4" s="16" t="s">
        <v>275</v>
      </c>
      <c r="C4" s="18"/>
      <c r="D4" s="253">
        <v>80</v>
      </c>
      <c r="E4" s="34"/>
    </row>
    <row r="5" spans="1:14" ht="17.399999999999999" thickBot="1" x14ac:dyDescent="0.5">
      <c r="A5" s="38"/>
      <c r="B5" s="20"/>
      <c r="C5" s="24" t="s">
        <v>81</v>
      </c>
      <c r="D5" s="5"/>
      <c r="E5" s="14" t="s">
        <v>242</v>
      </c>
      <c r="G5" s="5"/>
      <c r="H5" s="5"/>
      <c r="I5" s="331" t="s">
        <v>255</v>
      </c>
      <c r="J5" s="332"/>
      <c r="K5" s="333"/>
      <c r="L5" s="331" t="s">
        <v>256</v>
      </c>
      <c r="M5" s="332"/>
      <c r="N5" s="333"/>
    </row>
    <row r="6" spans="1:14" x14ac:dyDescent="0.45">
      <c r="A6" s="334" t="s">
        <v>83</v>
      </c>
      <c r="B6" s="1" t="s">
        <v>64</v>
      </c>
      <c r="C6" s="254">
        <v>20</v>
      </c>
      <c r="D6" s="2"/>
      <c r="E6" s="254">
        <v>300</v>
      </c>
      <c r="F6" s="336" t="s">
        <v>36</v>
      </c>
      <c r="I6" s="263" t="s">
        <v>200</v>
      </c>
      <c r="J6" s="263" t="s">
        <v>197</v>
      </c>
      <c r="K6" s="263" t="s">
        <v>89</v>
      </c>
      <c r="L6" s="263" t="s">
        <v>200</v>
      </c>
      <c r="M6" s="263" t="s">
        <v>197</v>
      </c>
      <c r="N6" s="263" t="s">
        <v>89</v>
      </c>
    </row>
    <row r="7" spans="1:14" ht="17.399999999999999" thickBot="1" x14ac:dyDescent="0.5">
      <c r="A7" s="335"/>
      <c r="B7" s="4" t="s">
        <v>57</v>
      </c>
      <c r="C7" s="184">
        <v>400</v>
      </c>
      <c r="D7" s="5"/>
      <c r="E7" s="184">
        <v>30</v>
      </c>
      <c r="F7" s="337"/>
      <c r="I7" s="252"/>
      <c r="J7" s="252"/>
      <c r="K7" s="252"/>
      <c r="L7" s="252"/>
      <c r="M7" s="252"/>
      <c r="N7" s="252"/>
    </row>
    <row r="8" spans="1:14" x14ac:dyDescent="0.45">
      <c r="A8" s="334" t="s">
        <v>85</v>
      </c>
      <c r="B8" s="1" t="s">
        <v>64</v>
      </c>
      <c r="C8" s="254">
        <v>5</v>
      </c>
      <c r="D8" s="5"/>
      <c r="E8" s="254"/>
      <c r="F8" s="336" t="s">
        <v>38</v>
      </c>
      <c r="I8" s="252"/>
      <c r="J8" s="252"/>
      <c r="K8" s="252"/>
      <c r="L8" s="252"/>
      <c r="M8" s="252"/>
      <c r="N8" s="252"/>
    </row>
    <row r="9" spans="1:14" ht="17.399999999999999" thickBot="1" x14ac:dyDescent="0.5">
      <c r="A9" s="335"/>
      <c r="B9" s="4" t="s">
        <v>57</v>
      </c>
      <c r="C9" s="137">
        <v>450</v>
      </c>
      <c r="D9" s="5"/>
      <c r="E9" s="137"/>
      <c r="F9" s="337"/>
      <c r="I9" s="264"/>
      <c r="J9" s="264"/>
      <c r="K9" s="264"/>
      <c r="L9" s="264"/>
      <c r="M9" s="264"/>
      <c r="N9" s="264"/>
    </row>
    <row r="10" spans="1:14" x14ac:dyDescent="0.45">
      <c r="A10" s="334" t="s">
        <v>86</v>
      </c>
      <c r="B10" s="1" t="s">
        <v>64</v>
      </c>
      <c r="C10" s="254"/>
      <c r="D10" s="5"/>
      <c r="E10" s="184"/>
      <c r="F10" s="336" t="s">
        <v>34</v>
      </c>
      <c r="H10" s="217" t="s">
        <v>260</v>
      </c>
      <c r="I10" s="217">
        <f>SUM(I7:I9)</f>
        <v>0</v>
      </c>
      <c r="J10" s="217">
        <f t="shared" ref="J10:N10" si="0">SUM(J7:J9)</f>
        <v>0</v>
      </c>
      <c r="K10" s="217">
        <f t="shared" si="0"/>
        <v>0</v>
      </c>
      <c r="L10" s="217">
        <f t="shared" si="0"/>
        <v>0</v>
      </c>
      <c r="M10" s="217">
        <f t="shared" si="0"/>
        <v>0</v>
      </c>
      <c r="N10" s="217">
        <f t="shared" si="0"/>
        <v>0</v>
      </c>
    </row>
    <row r="11" spans="1:14" ht="17.399999999999999" thickBot="1" x14ac:dyDescent="0.5">
      <c r="A11" s="335"/>
      <c r="B11" s="4" t="s">
        <v>57</v>
      </c>
      <c r="C11" s="137"/>
      <c r="D11" s="5"/>
      <c r="E11" s="184"/>
      <c r="F11" s="337"/>
      <c r="I11" s="217" t="s">
        <v>257</v>
      </c>
      <c r="J11" s="217">
        <f>L10-I10</f>
        <v>0</v>
      </c>
    </row>
    <row r="12" spans="1:14" ht="17.399999999999999" thickBot="1" x14ac:dyDescent="0.5">
      <c r="B12" s="10" t="s">
        <v>65</v>
      </c>
      <c r="C12" s="13">
        <f>C6*C7+C8*C9+C10*C11</f>
        <v>10250</v>
      </c>
      <c r="D12" s="11"/>
      <c r="E12" s="13">
        <f>E6*E7</f>
        <v>9000</v>
      </c>
      <c r="I12" s="217" t="s">
        <v>258</v>
      </c>
      <c r="J12" s="217">
        <f>M10-J10</f>
        <v>0</v>
      </c>
    </row>
    <row r="13" spans="1:14" ht="17.399999999999999" thickBot="1" x14ac:dyDescent="0.5">
      <c r="B13" s="54" t="s">
        <v>19</v>
      </c>
      <c r="C13" s="56"/>
      <c r="D13" s="40">
        <f>(C12-E12)/D4</f>
        <v>15.625</v>
      </c>
      <c r="E13" s="12"/>
      <c r="I13" s="217" t="s">
        <v>259</v>
      </c>
      <c r="J13" s="217">
        <f>N10-K10</f>
        <v>0</v>
      </c>
    </row>
    <row r="14" spans="1:14" ht="17.399999999999999" thickBot="1" x14ac:dyDescent="0.5">
      <c r="B14" s="32" t="s">
        <v>4</v>
      </c>
      <c r="C14" s="33"/>
      <c r="D14" s="33"/>
      <c r="E14" s="34"/>
    </row>
    <row r="15" spans="1:14" ht="33.6" x14ac:dyDescent="0.45">
      <c r="B15" s="37" t="s">
        <v>5</v>
      </c>
      <c r="C15" s="257" t="s">
        <v>25</v>
      </c>
      <c r="D15" s="31"/>
      <c r="E15" s="258" t="s">
        <v>120</v>
      </c>
    </row>
    <row r="16" spans="1:14" ht="17.399999999999999" thickBot="1" x14ac:dyDescent="0.5">
      <c r="B16" s="36" t="s">
        <v>13</v>
      </c>
      <c r="C16" s="8">
        <f>IFERROR(VLOOKUP($C$15,listes!B2:E18,4),0)</f>
        <v>6.4</v>
      </c>
      <c r="D16" s="24"/>
      <c r="E16" s="9">
        <f>IFERROR(VLOOKUP($E$15,listes!H2:K17,4),0)</f>
        <v>33.1</v>
      </c>
    </row>
    <row r="17" spans="2:5" x14ac:dyDescent="0.45">
      <c r="B17" s="37" t="s">
        <v>5</v>
      </c>
      <c r="C17" s="259"/>
      <c r="D17" s="24"/>
      <c r="E17" s="260"/>
    </row>
    <row r="18" spans="2:5" ht="17.399999999999999" thickBot="1" x14ac:dyDescent="0.5">
      <c r="B18" s="36" t="s">
        <v>13</v>
      </c>
      <c r="C18" s="8">
        <f>IFERROR(VLOOKUP($C$17,listes!B4:E20,4),0)</f>
        <v>0</v>
      </c>
      <c r="D18" s="24"/>
      <c r="E18" s="9">
        <f>IFERROR(VLOOKUP($E$17,listes!H4:K19,4),0)</f>
        <v>0</v>
      </c>
    </row>
    <row r="19" spans="2:5" x14ac:dyDescent="0.45">
      <c r="B19" s="35" t="s">
        <v>5</v>
      </c>
      <c r="C19" s="259"/>
      <c r="D19" s="24"/>
      <c r="E19" s="260"/>
    </row>
    <row r="20" spans="2:5" ht="17.399999999999999" thickBot="1" x14ac:dyDescent="0.5">
      <c r="B20" s="36" t="s">
        <v>13</v>
      </c>
      <c r="C20" s="8">
        <f>IFERROR(VLOOKUP($C$19,listes!B6:E22,4),0)</f>
        <v>0</v>
      </c>
      <c r="D20" s="15"/>
      <c r="E20" s="9">
        <f>IFERROR(VLOOKUP($E$19,listes!H6:K21,4),0)</f>
        <v>0</v>
      </c>
    </row>
    <row r="21" spans="2:5" ht="17.399999999999999" thickBot="1" x14ac:dyDescent="0.5">
      <c r="B21" s="36"/>
      <c r="C21" s="8"/>
      <c r="D21" s="15"/>
      <c r="E21" s="9"/>
    </row>
    <row r="22" spans="2:5" ht="17.399999999999999" thickBot="1" x14ac:dyDescent="0.5">
      <c r="B22" s="55" t="s">
        <v>3</v>
      </c>
      <c r="C22" s="57"/>
      <c r="D22" s="30">
        <f>C16-E16</f>
        <v>-26.700000000000003</v>
      </c>
      <c r="E22" s="9"/>
    </row>
    <row r="23" spans="2:5" ht="17.399999999999999" thickBot="1" x14ac:dyDescent="0.5">
      <c r="B23" s="21" t="s">
        <v>274</v>
      </c>
      <c r="C23" s="22"/>
      <c r="D23" s="52">
        <f>D13+D22</f>
        <v>-11.075000000000003</v>
      </c>
      <c r="E23" s="23"/>
    </row>
    <row r="24" spans="2:5" ht="17.399999999999999" thickBot="1" x14ac:dyDescent="0.5">
      <c r="B24" s="21" t="s">
        <v>276</v>
      </c>
      <c r="C24" s="22"/>
      <c r="D24" s="52">
        <f>D23*D4</f>
        <v>-886.00000000000023</v>
      </c>
      <c r="E24" s="23"/>
    </row>
    <row r="25" spans="2:5" ht="17.399999999999999" thickBot="1" x14ac:dyDescent="0.5">
      <c r="B25" s="27" t="s">
        <v>291</v>
      </c>
      <c r="C25" s="11"/>
      <c r="D25" s="11"/>
      <c r="E25" s="12"/>
    </row>
  </sheetData>
  <sheetProtection sheet="1" objects="1" scenarios="1"/>
  <mergeCells count="8">
    <mergeCell ref="I5:K5"/>
    <mergeCell ref="L5:N5"/>
    <mergeCell ref="A6:A7"/>
    <mergeCell ref="A8:A9"/>
    <mergeCell ref="A10:A11"/>
    <mergeCell ref="F6:F7"/>
    <mergeCell ref="F8:F9"/>
    <mergeCell ref="F10:F11"/>
  </mergeCells>
  <pageMargins left="0.70866141732283472" right="0.70866141732283472" top="0.74803149606299213" bottom="0.74803149606299213" header="0.31496062992125984" footer="0.31496062992125984"/>
  <pageSetup paperSize="9" scale="72" orientation="portrait" verticalDpi="0" r:id="rId1"/>
  <headerFooter>
    <oddFooter>&amp;L&amp;D</oddFooter>
  </headerFooter>
  <legacy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300-000000000000}">
          <x14:formula1>
            <xm:f>listes!$H$2:$H$18</xm:f>
          </x14:formula1>
          <xm:sqref>E19 E17 E15</xm:sqref>
        </x14:dataValidation>
        <x14:dataValidation type="list" allowBlank="1" showInputMessage="1" showErrorMessage="1" xr:uid="{00000000-0002-0000-0300-000001000000}">
          <x14:formula1>
            <xm:f>listes!$B$2:$B$19</xm:f>
          </x14:formula1>
          <xm:sqref>C19 C15 C17</xm:sqref>
        </x14:dataValidation>
        <x14:dataValidation type="list" allowBlank="1" showInputMessage="1" showErrorMessage="1" xr:uid="{00000000-0002-0000-0300-000002000000}">
          <x14:formula1>
            <xm:f>listes!$O$2:$O$31</xm:f>
          </x14:formula1>
          <xm:sqref>F6:F11</xm:sqref>
        </x14:dataValidation>
        <x14:dataValidation type="list" allowBlank="1" showInputMessage="1" showErrorMessage="1" xr:uid="{00000000-0002-0000-0300-000003000000}">
          <x14:formula1>
            <xm:f>listes!$N$2:$N$9</xm:f>
          </x14:formula1>
          <xm:sqref>A6:A11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0.59999389629810485"/>
  </sheetPr>
  <dimension ref="A1:E17"/>
  <sheetViews>
    <sheetView zoomScaleNormal="100" workbookViewId="0"/>
  </sheetViews>
  <sheetFormatPr baseColWidth="10" defaultRowHeight="16.8" x14ac:dyDescent="0.45"/>
  <cols>
    <col min="1" max="1" width="13.88671875" bestFit="1" customWidth="1"/>
    <col min="2" max="2" width="21.88671875" customWidth="1"/>
    <col min="3" max="3" width="27.44140625" customWidth="1"/>
    <col min="5" max="5" width="28.33203125" customWidth="1"/>
  </cols>
  <sheetData>
    <row r="1" spans="1:5" x14ac:dyDescent="0.45">
      <c r="A1" t="str">
        <f>Paramètres!C23</f>
        <v>SCEA DUPONT</v>
      </c>
    </row>
    <row r="2" spans="1:5" ht="17.399999999999999" thickBot="1" x14ac:dyDescent="0.5"/>
    <row r="3" spans="1:5" ht="17.399999999999999" thickBot="1" x14ac:dyDescent="0.5">
      <c r="A3" s="53" t="s">
        <v>280</v>
      </c>
      <c r="B3" s="51" t="s">
        <v>244</v>
      </c>
      <c r="C3" s="49"/>
      <c r="D3" s="49"/>
      <c r="E3" s="50"/>
    </row>
    <row r="4" spans="1:5" ht="17.399999999999999" thickBot="1" x14ac:dyDescent="0.5">
      <c r="A4" s="29"/>
      <c r="B4" s="16" t="s">
        <v>272</v>
      </c>
      <c r="C4" s="18"/>
      <c r="D4" s="284">
        <v>100</v>
      </c>
      <c r="E4" s="34"/>
    </row>
    <row r="5" spans="1:5" ht="17.399999999999999" thickBot="1" x14ac:dyDescent="0.5">
      <c r="C5" s="14" t="s">
        <v>199</v>
      </c>
      <c r="E5" s="14" t="s">
        <v>353</v>
      </c>
    </row>
    <row r="6" spans="1:5" x14ac:dyDescent="0.45">
      <c r="B6" s="1" t="s">
        <v>0</v>
      </c>
      <c r="C6" s="254">
        <v>55</v>
      </c>
      <c r="D6" s="2"/>
      <c r="E6" s="254">
        <v>50</v>
      </c>
    </row>
    <row r="7" spans="1:5" ht="17.399999999999999" thickBot="1" x14ac:dyDescent="0.5">
      <c r="B7" s="4" t="s">
        <v>1</v>
      </c>
      <c r="C7" s="69">
        <f>IF(C5=Paramètres!B34,Paramètres!F34)</f>
        <v>2.9333333333333331</v>
      </c>
      <c r="D7" s="5"/>
      <c r="E7" s="69">
        <f>IF(E5=Paramètres!B35,Paramètres!F35,IF(E5=Paramètres!B36,Paramètres!F36,IF(E5=Paramètres!B37,Paramètres!F37,0)))</f>
        <v>3.2692307692307696</v>
      </c>
    </row>
    <row r="8" spans="1:5" ht="17.399999999999999" thickBot="1" x14ac:dyDescent="0.5">
      <c r="B8" s="10" t="s">
        <v>2</v>
      </c>
      <c r="C8" s="226">
        <f>C6*C7</f>
        <v>161.33333333333331</v>
      </c>
      <c r="D8" s="11"/>
      <c r="E8" s="226">
        <f>E6*E7</f>
        <v>163.46153846153848</v>
      </c>
    </row>
    <row r="9" spans="1:5" ht="17.399999999999999" thickBot="1" x14ac:dyDescent="0.5">
      <c r="B9" s="54" t="s">
        <v>19</v>
      </c>
      <c r="C9" s="56"/>
      <c r="D9" s="227">
        <f>C8-E8</f>
        <v>-2.1282051282051668</v>
      </c>
      <c r="E9" s="61"/>
    </row>
    <row r="10" spans="1:5" ht="17.399999999999999" thickBot="1" x14ac:dyDescent="0.5">
      <c r="B10" s="32" t="s">
        <v>4</v>
      </c>
      <c r="C10" s="33"/>
      <c r="D10" s="33"/>
      <c r="E10" s="34"/>
    </row>
    <row r="11" spans="1:5" ht="33.6" x14ac:dyDescent="0.45">
      <c r="B11" s="37" t="s">
        <v>5</v>
      </c>
      <c r="C11" s="285" t="s">
        <v>24</v>
      </c>
      <c r="D11" s="31"/>
      <c r="E11" s="258" t="s">
        <v>18</v>
      </c>
    </row>
    <row r="12" spans="1:5" ht="17.399999999999999" thickBot="1" x14ac:dyDescent="0.5">
      <c r="B12" s="36" t="s">
        <v>13</v>
      </c>
      <c r="C12" s="15">
        <f>VLOOKUP($C$11,listes!B2:E18,4)</f>
        <v>7.8</v>
      </c>
      <c r="D12" s="15"/>
      <c r="E12" s="9">
        <f>VLOOKUP($E$11,listes!B8:E11,4)</f>
        <v>3.7</v>
      </c>
    </row>
    <row r="13" spans="1:5" ht="17.399999999999999" thickBot="1" x14ac:dyDescent="0.5">
      <c r="B13" s="55" t="s">
        <v>19</v>
      </c>
      <c r="C13" s="57"/>
      <c r="D13" s="48">
        <f>C12-E12</f>
        <v>4.0999999999999996</v>
      </c>
      <c r="E13" s="62"/>
    </row>
    <row r="14" spans="1:5" ht="17.399999999999999" thickBot="1" x14ac:dyDescent="0.5">
      <c r="B14" s="21" t="s">
        <v>102</v>
      </c>
      <c r="C14" s="60">
        <f>C8+C12</f>
        <v>169.13333333333333</v>
      </c>
      <c r="D14" s="65"/>
      <c r="E14" s="225">
        <f>E8+E12</f>
        <v>167.16153846153847</v>
      </c>
    </row>
    <row r="15" spans="1:5" ht="17.399999999999999" thickBot="1" x14ac:dyDescent="0.5">
      <c r="B15" s="21" t="s">
        <v>274</v>
      </c>
      <c r="C15" s="22"/>
      <c r="D15" s="64">
        <f>D9+D13</f>
        <v>1.9717948717948328</v>
      </c>
      <c r="E15" s="23"/>
    </row>
    <row r="16" spans="1:5" ht="17.399999999999999" thickBot="1" x14ac:dyDescent="0.5">
      <c r="B16" s="21" t="s">
        <v>276</v>
      </c>
      <c r="C16" s="23"/>
      <c r="D16" s="64">
        <f>D15*D4</f>
        <v>197.17948717948329</v>
      </c>
      <c r="E16" s="23"/>
    </row>
    <row r="17" spans="2:5" ht="17.399999999999999" thickBot="1" x14ac:dyDescent="0.5">
      <c r="B17" s="27" t="s">
        <v>291</v>
      </c>
      <c r="C17" s="11"/>
      <c r="D17" s="11"/>
      <c r="E17" s="12"/>
    </row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Footer>&amp;L&amp;D</oddFooter>
  </headerFooter>
  <legacy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 xr:uid="{00000000-0002-0000-0400-000000000000}">
          <x14:formula1>
            <xm:f>listes!$B$8:$B$11</xm:f>
          </x14:formula1>
          <xm:sqref>E11</xm:sqref>
        </x14:dataValidation>
        <x14:dataValidation type="list" allowBlank="1" showInputMessage="1" showErrorMessage="1" xr:uid="{00000000-0002-0000-0400-000001000000}">
          <x14:formula1>
            <xm:f>listes!$B$2:$B$18</xm:f>
          </x14:formula1>
          <xm:sqref>C11</xm:sqref>
        </x14:dataValidation>
        <x14:dataValidation type="list" allowBlank="1" showInputMessage="1" showErrorMessage="1" xr:uid="{00000000-0002-0000-0400-000002000000}">
          <x14:formula1>
            <xm:f>Paramètres!$B$35:$B$37</xm:f>
          </x14:formula1>
          <xm:sqref>E5</xm:sqref>
        </x14:dataValidation>
        <x14:dataValidation type="list" allowBlank="1" showInputMessage="1" showErrorMessage="1" xr:uid="{00000000-0002-0000-0400-000003000000}">
          <x14:formula1>
            <xm:f>Paramètres!$B$34</xm:f>
          </x14:formula1>
          <xm:sqref>C5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59999389629810485"/>
  </sheetPr>
  <dimension ref="A1:M28"/>
  <sheetViews>
    <sheetView topLeftCell="D1" zoomScaleNormal="100" workbookViewId="0">
      <selection activeCell="D1" sqref="D1"/>
    </sheetView>
  </sheetViews>
  <sheetFormatPr baseColWidth="10" defaultRowHeight="16.8" x14ac:dyDescent="0.45"/>
  <cols>
    <col min="1" max="3" width="11.44140625" hidden="1" customWidth="1"/>
    <col min="4" max="4" width="12" customWidth="1"/>
    <col min="5" max="5" width="27.44140625" customWidth="1"/>
    <col min="6" max="6" width="22.5546875" customWidth="1"/>
    <col min="7" max="7" width="28.109375" customWidth="1"/>
    <col min="9" max="11" width="11.44140625" hidden="1" customWidth="1"/>
  </cols>
  <sheetData>
    <row r="1" spans="1:11" x14ac:dyDescent="0.45">
      <c r="D1" t="str">
        <f>Paramètres!C23</f>
        <v>SCEA DUPONT</v>
      </c>
    </row>
    <row r="2" spans="1:11" ht="17.399999999999999" thickBot="1" x14ac:dyDescent="0.5"/>
    <row r="3" spans="1:11" ht="17.399999999999999" thickBot="1" x14ac:dyDescent="0.5">
      <c r="D3" s="135" t="s">
        <v>277</v>
      </c>
      <c r="E3" s="338" t="s">
        <v>184</v>
      </c>
      <c r="F3" s="339"/>
    </row>
    <row r="4" spans="1:11" ht="24" customHeight="1" thickBot="1" x14ac:dyDescent="0.85">
      <c r="D4" s="91"/>
      <c r="E4" s="136" t="s">
        <v>292</v>
      </c>
      <c r="F4" s="137">
        <v>25</v>
      </c>
    </row>
    <row r="5" spans="1:11" ht="17.399999999999999" thickBot="1" x14ac:dyDescent="0.5">
      <c r="E5" s="10" t="s">
        <v>166</v>
      </c>
      <c r="F5" s="199">
        <f>Paramètres!$C$28</f>
        <v>1.5</v>
      </c>
    </row>
    <row r="6" spans="1:11" ht="17.399999999999999" thickBot="1" x14ac:dyDescent="0.5">
      <c r="E6" s="10" t="s">
        <v>95</v>
      </c>
      <c r="F6" s="199">
        <f>Paramètres!$C$27</f>
        <v>1.5</v>
      </c>
    </row>
    <row r="7" spans="1:11" ht="17.399999999999999" thickBot="1" x14ac:dyDescent="0.5">
      <c r="E7" s="10" t="s">
        <v>96</v>
      </c>
      <c r="F7" s="199">
        <f>Paramètres!$C$26</f>
        <v>20</v>
      </c>
    </row>
    <row r="8" spans="1:11" ht="18.600000000000001" thickBot="1" x14ac:dyDescent="0.55000000000000004">
      <c r="D8" s="72" t="s">
        <v>164</v>
      </c>
      <c r="E8" s="72"/>
      <c r="F8" s="72"/>
      <c r="G8" s="72" t="s">
        <v>163</v>
      </c>
      <c r="H8" s="72"/>
    </row>
    <row r="9" spans="1:11" ht="17.399999999999999" thickTop="1" x14ac:dyDescent="0.45">
      <c r="D9" s="286" t="s">
        <v>293</v>
      </c>
      <c r="E9" s="171"/>
      <c r="F9" s="171"/>
      <c r="G9" s="171" t="s">
        <v>294</v>
      </c>
      <c r="H9" s="172"/>
    </row>
    <row r="10" spans="1:11" ht="18" x14ac:dyDescent="0.5">
      <c r="D10" s="287"/>
      <c r="E10" s="288"/>
      <c r="F10" s="5" t="s">
        <v>295</v>
      </c>
      <c r="G10" s="288" t="s">
        <v>152</v>
      </c>
      <c r="H10" s="289">
        <v>35</v>
      </c>
    </row>
    <row r="11" spans="1:11" ht="18.600000000000001" thickBot="1" x14ac:dyDescent="0.55000000000000004">
      <c r="D11" s="287"/>
      <c r="E11" s="288"/>
      <c r="F11" s="5" t="s">
        <v>165</v>
      </c>
      <c r="G11" s="288"/>
      <c r="H11" s="289"/>
    </row>
    <row r="12" spans="1:11" ht="36" customHeight="1" thickBot="1" x14ac:dyDescent="0.5">
      <c r="A12" t="s">
        <v>160</v>
      </c>
      <c r="B12" t="s">
        <v>161</v>
      </c>
      <c r="C12" t="s">
        <v>162</v>
      </c>
      <c r="D12" s="80">
        <v>2</v>
      </c>
      <c r="E12" s="87" t="s">
        <v>296</v>
      </c>
      <c r="F12" s="84" t="s">
        <v>122</v>
      </c>
      <c r="G12" s="88" t="s">
        <v>296</v>
      </c>
      <c r="H12" s="81">
        <v>1</v>
      </c>
      <c r="I12" t="s">
        <v>162</v>
      </c>
      <c r="J12" t="s">
        <v>161</v>
      </c>
      <c r="K12" t="s">
        <v>160</v>
      </c>
    </row>
    <row r="13" spans="1:11" ht="31.5" customHeight="1" x14ac:dyDescent="0.45">
      <c r="A13">
        <f>VLOOKUP(E13,listes!$AD$2:$AF$17,3,)</f>
        <v>10.9</v>
      </c>
      <c r="B13" s="71">
        <f>VLOOKUP(E13,listes!$AD$2:$AE$17,2,FALSE)</f>
        <v>14.4</v>
      </c>
      <c r="C13" s="71">
        <f>IF(B14="","",B13/B14+A13*$F$6/B14+$F$7/B14)</f>
        <v>28.25852272727273</v>
      </c>
      <c r="D13" s="340">
        <f>IF(C14="",0,(C13+C14)*D12)</f>
        <v>76.117045454545462</v>
      </c>
      <c r="E13" s="89" t="s">
        <v>123</v>
      </c>
      <c r="F13" s="85" t="s">
        <v>153</v>
      </c>
      <c r="G13" s="89" t="s">
        <v>124</v>
      </c>
      <c r="H13" s="342">
        <f>IF(G14="",0,(I13+I14)*H12)</f>
        <v>28.407741116751271</v>
      </c>
      <c r="I13" s="71">
        <f>IF(J14="","",J13/J14+K13*$F$6/J14+$F$7/J14)</f>
        <v>17.107741116751271</v>
      </c>
      <c r="J13" s="71">
        <f>VLOOKUP(G13,listes!$AD$2:$AE$17,2,FALSE)</f>
        <v>16.100000000000001</v>
      </c>
      <c r="K13">
        <f>VLOOKUP(G13,listes!$AD$2:$AF$17,3,)</f>
        <v>15.7</v>
      </c>
    </row>
    <row r="14" spans="1:11" ht="32.25" customHeight="1" thickBot="1" x14ac:dyDescent="0.5">
      <c r="B14" s="71">
        <f>IF(E14="","",VLOOKUP(E14,listes!$AH$2:$AM$23,6,FALSE))</f>
        <v>1.7959183673469388</v>
      </c>
      <c r="C14">
        <f>IF(E14="","",VLOOKUP(E14,listes!$AH$2:$AM$23,4,FALSE))</f>
        <v>9.8000000000000007</v>
      </c>
      <c r="D14" s="340"/>
      <c r="E14" s="89" t="s">
        <v>132</v>
      </c>
      <c r="F14" s="85" t="s">
        <v>154</v>
      </c>
      <c r="G14" s="89" t="s">
        <v>136</v>
      </c>
      <c r="H14" s="342"/>
      <c r="I14">
        <f>IF(G14="","",VLOOKUP(G14,listes!$AH$2:$AM$23,4,FALSE))</f>
        <v>11.3</v>
      </c>
      <c r="J14" s="71">
        <f>IF(G14="","",VLOOKUP(G14,listes!$AH$2:$AM$23,6,FALSE))</f>
        <v>3.4867256637168138</v>
      </c>
    </row>
    <row r="15" spans="1:11" ht="35.25" customHeight="1" thickBot="1" x14ac:dyDescent="0.5">
      <c r="B15" s="71"/>
      <c r="C15" s="71"/>
      <c r="D15" s="80">
        <v>0</v>
      </c>
      <c r="E15" s="87" t="s">
        <v>296</v>
      </c>
      <c r="F15" s="84" t="s">
        <v>155</v>
      </c>
      <c r="G15" s="88" t="s">
        <v>296</v>
      </c>
      <c r="H15" s="81">
        <v>1</v>
      </c>
      <c r="I15" s="71"/>
      <c r="J15" s="71"/>
    </row>
    <row r="16" spans="1:11" ht="32.25" customHeight="1" x14ac:dyDescent="0.45">
      <c r="A16" t="e">
        <f>VLOOKUP(E16,listes!$AD$2:$AF$17,3,)</f>
        <v>#N/A</v>
      </c>
      <c r="B16" s="71" t="e">
        <f>VLOOKUP(E16,listes!AD2:AE17,2,FALSE)</f>
        <v>#N/A</v>
      </c>
      <c r="C16" s="71" t="str">
        <f>IF(B17="","",B16/B17+A16*$F$6/B17+$F$7/B17)</f>
        <v/>
      </c>
      <c r="D16" s="340">
        <f>IF(C17="",0,(C16+C17)*D15)</f>
        <v>0</v>
      </c>
      <c r="E16" s="89"/>
      <c r="F16" s="85" t="s">
        <v>153</v>
      </c>
      <c r="G16" s="89" t="s">
        <v>123</v>
      </c>
      <c r="H16" s="342">
        <f>IF(G17="",0,(I16+I17)*H15)</f>
        <v>37.52986111111111</v>
      </c>
      <c r="I16" s="71">
        <f>IF(J17="","",J16/J17+K16*$F$6/J17+$F$7/J17)</f>
        <v>18.829861111111111</v>
      </c>
      <c r="J16" s="71">
        <f>VLOOKUP(G16,listes!$AD$2:$AE$17,2,FALSE)</f>
        <v>14.4</v>
      </c>
      <c r="K16">
        <f>VLOOKUP(G16,listes!$AD$2:$AF$17,3,)</f>
        <v>10.9</v>
      </c>
    </row>
    <row r="17" spans="1:13" ht="34.200000000000003" thickBot="1" x14ac:dyDescent="0.5">
      <c r="B17" s="71" t="str">
        <f>IF(E17="","",VLOOKUP(E17,listes!$AH$2:$AM$23,6,FALSE))</f>
        <v/>
      </c>
      <c r="C17" t="str">
        <f>IF(E17="","",VLOOKUP(E17,listes!$AH$2:$AM$23,4,FALSE))</f>
        <v/>
      </c>
      <c r="D17" s="340"/>
      <c r="E17" s="89"/>
      <c r="F17" s="85" t="s">
        <v>156</v>
      </c>
      <c r="G17" s="89" t="s">
        <v>148</v>
      </c>
      <c r="H17" s="342"/>
      <c r="I17">
        <f>IF(G17="","",VLOOKUP(G17,listes!$AH$2:$AM$23,4,FALSE))</f>
        <v>18.7</v>
      </c>
      <c r="J17" s="71">
        <f>IF(G17="","",VLOOKUP(G17,listes!$AH$2:$AM$23,6,FALSE))</f>
        <v>2.6951871657754012</v>
      </c>
    </row>
    <row r="18" spans="1:13" ht="40.5" customHeight="1" thickBot="1" x14ac:dyDescent="0.85">
      <c r="B18" s="71"/>
      <c r="C18" s="71"/>
      <c r="D18" s="80">
        <v>0</v>
      </c>
      <c r="E18" s="87" t="s">
        <v>296</v>
      </c>
      <c r="F18" s="84" t="s">
        <v>157</v>
      </c>
      <c r="G18" s="88" t="s">
        <v>296</v>
      </c>
      <c r="H18" s="81">
        <v>1</v>
      </c>
      <c r="I18" s="71"/>
      <c r="J18" s="71"/>
      <c r="M18" s="269" t="s">
        <v>338</v>
      </c>
    </row>
    <row r="19" spans="1:13" ht="33.75" customHeight="1" x14ac:dyDescent="0.45">
      <c r="A19" t="e">
        <f>VLOOKUP(E19,listes!$AD$2:$AF$17,3,)</f>
        <v>#N/A</v>
      </c>
      <c r="B19" s="71" t="e">
        <f>VLOOKUP(E19,listes!AD2:AE17,2,FALSE)</f>
        <v>#N/A</v>
      </c>
      <c r="C19" s="71" t="str">
        <f>IF(B20="","",B19/B20+A19*$F$6/B20+$F$7/B20)</f>
        <v/>
      </c>
      <c r="D19" s="340">
        <f>IF(C20="",0,(C19+C20)*D18)</f>
        <v>0</v>
      </c>
      <c r="E19" s="89"/>
      <c r="F19" s="85" t="s">
        <v>153</v>
      </c>
      <c r="G19" s="89" t="s">
        <v>123</v>
      </c>
      <c r="H19" s="342">
        <f>IF(G20="",0,(I19+I20)*H18)</f>
        <v>23.844909502262443</v>
      </c>
      <c r="I19" s="71">
        <f>IF(J20="","",J19/J20+K19*$F$6/J20+$F$7/J20)</f>
        <v>12.744909502262443</v>
      </c>
      <c r="J19" s="71">
        <f>VLOOKUP(G19,listes!$AD$2:$AE$17,2,FALSE)</f>
        <v>14.4</v>
      </c>
      <c r="K19">
        <f>VLOOKUP(G19,listes!$AD$2:$AF$17,3,)</f>
        <v>10.9</v>
      </c>
    </row>
    <row r="20" spans="1:13" ht="34.200000000000003" thickBot="1" x14ac:dyDescent="0.5">
      <c r="B20" s="71" t="str">
        <f>IF(E20="","",VLOOKUP(E20,listes!$AH$2:$AM$23,6,FALSE))</f>
        <v/>
      </c>
      <c r="C20" t="str">
        <f>IF(E20="","",VLOOKUP(E20,listes!$AH$2:$AM$23,4,FALSE))</f>
        <v/>
      </c>
      <c r="D20" s="341"/>
      <c r="E20" s="90"/>
      <c r="F20" s="86" t="s">
        <v>158</v>
      </c>
      <c r="G20" s="90" t="s">
        <v>143</v>
      </c>
      <c r="H20" s="343"/>
      <c r="I20">
        <f>IF(G20="","",VLOOKUP(G20,listes!$AH$2:$AM$23,4,FALSE))</f>
        <v>11.1</v>
      </c>
      <c r="J20" s="71">
        <f>IF(G20="","",VLOOKUP(G20,listes!$AH$2:$AM$23,6,FALSE))</f>
        <v>3.9819819819819822</v>
      </c>
    </row>
    <row r="21" spans="1:13" ht="20.399999999999999" thickTop="1" thickBot="1" x14ac:dyDescent="0.55000000000000004">
      <c r="D21" s="290">
        <f>D13+D16+D19</f>
        <v>76.117045454545462</v>
      </c>
      <c r="E21" s="291"/>
      <c r="F21" s="291" t="s">
        <v>297</v>
      </c>
      <c r="G21" s="291"/>
      <c r="H21" s="292">
        <f>H13+H16+H19</f>
        <v>89.782511730124824</v>
      </c>
    </row>
    <row r="22" spans="1:13" ht="19.8" thickTop="1" x14ac:dyDescent="0.5">
      <c r="D22" s="293" t="s">
        <v>365</v>
      </c>
      <c r="E22" s="294"/>
      <c r="F22" s="294"/>
      <c r="G22" s="294" t="s">
        <v>364</v>
      </c>
      <c r="H22" s="295"/>
    </row>
    <row r="23" spans="1:13" ht="19.2" x14ac:dyDescent="0.5">
      <c r="D23" s="173" t="s">
        <v>167</v>
      </c>
      <c r="E23" s="78"/>
      <c r="F23" s="79" t="s">
        <v>298</v>
      </c>
      <c r="G23" s="296"/>
      <c r="H23" s="297" t="s">
        <v>167</v>
      </c>
    </row>
    <row r="24" spans="1:13" ht="57.6" x14ac:dyDescent="0.7">
      <c r="D24" s="298">
        <f>E24*F5</f>
        <v>0</v>
      </c>
      <c r="E24" s="299">
        <v>0</v>
      </c>
      <c r="F24" s="82" t="s">
        <v>299</v>
      </c>
      <c r="G24" s="299">
        <v>38</v>
      </c>
      <c r="H24" s="300">
        <f>G24*F5</f>
        <v>57</v>
      </c>
    </row>
    <row r="25" spans="1:13" ht="58.2" thickBot="1" x14ac:dyDescent="0.75">
      <c r="D25" s="301"/>
      <c r="E25" s="302"/>
      <c r="F25" s="303" t="s">
        <v>354</v>
      </c>
      <c r="G25" s="302"/>
      <c r="H25" s="304"/>
    </row>
    <row r="26" spans="1:13" ht="17.399999999999999" thickBot="1" x14ac:dyDescent="0.5">
      <c r="D26" s="308">
        <f>D25+D24-D21-D11-D10</f>
        <v>-76.117045454545462</v>
      </c>
      <c r="E26" s="11"/>
      <c r="F26" s="11" t="s">
        <v>366</v>
      </c>
      <c r="G26" s="11"/>
      <c r="H26" s="309">
        <f>H25+H24-H21-H11-H10</f>
        <v>-67.782511730124824</v>
      </c>
    </row>
    <row r="27" spans="1:13" ht="30" thickBot="1" x14ac:dyDescent="0.75">
      <c r="D27" s="305"/>
      <c r="E27" s="306" t="s">
        <v>177</v>
      </c>
      <c r="F27" s="307">
        <f>H26-D26</f>
        <v>8.3345337244206377</v>
      </c>
    </row>
    <row r="28" spans="1:13" ht="30" thickBot="1" x14ac:dyDescent="0.75">
      <c r="D28" s="119"/>
      <c r="E28" s="101" t="s">
        <v>168</v>
      </c>
      <c r="F28" s="83">
        <f>F27*F4</f>
        <v>208.36334311051593</v>
      </c>
    </row>
  </sheetData>
  <sheetProtection sheet="1" objects="1" scenarios="1"/>
  <mergeCells count="7">
    <mergeCell ref="E3:F3"/>
    <mergeCell ref="D13:D14"/>
    <mergeCell ref="D16:D17"/>
    <mergeCell ref="D19:D20"/>
    <mergeCell ref="H13:H14"/>
    <mergeCell ref="H16:H17"/>
    <mergeCell ref="H19:H20"/>
  </mergeCells>
  <hyperlinks>
    <hyperlink ref="M18" r:id="rId1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72" orientation="portrait" r:id="rId2"/>
  <headerFooter>
    <oddFooter>&amp;L&amp;D</oddFooter>
  </headerFooter>
  <drawing r:id="rId3"/>
  <legacyDrawingHF r:id="rId4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listes!$AD$2:$AD$17</xm:f>
          </x14:formula1>
          <xm:sqref>E13 E16 G16 G13 E19 G19</xm:sqref>
        </x14:dataValidation>
        <x14:dataValidation type="list" allowBlank="1" showInputMessage="1" showErrorMessage="1" xr:uid="{00000000-0002-0000-0500-000001000000}">
          <x14:formula1>
            <xm:f>listes!$AH$2:$AH$23</xm:f>
          </x14:formula1>
          <xm:sqref>E14 E17 G14 G17 G20 E20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</sheetPr>
  <dimension ref="A1:L33"/>
  <sheetViews>
    <sheetView topLeftCell="D1" zoomScaleNormal="100" workbookViewId="0">
      <selection activeCell="D1" sqref="D1"/>
    </sheetView>
  </sheetViews>
  <sheetFormatPr baseColWidth="10" defaultRowHeight="16.8" x14ac:dyDescent="0.45"/>
  <cols>
    <col min="1" max="3" width="11.44140625" hidden="1" customWidth="1"/>
    <col min="4" max="4" width="12.5546875" customWidth="1"/>
    <col min="5" max="6" width="27.44140625" customWidth="1"/>
    <col min="7" max="7" width="21" customWidth="1"/>
    <col min="8" max="8" width="28.109375" customWidth="1"/>
    <col min="9" max="9" width="12" bestFit="1" customWidth="1"/>
    <col min="10" max="12" width="11.44140625" hidden="1" customWidth="1"/>
  </cols>
  <sheetData>
    <row r="1" spans="1:12" x14ac:dyDescent="0.45">
      <c r="D1" t="str">
        <f>Paramètres!C23</f>
        <v>SCEA DUPONT</v>
      </c>
    </row>
    <row r="2" spans="1:12" ht="17.399999999999999" thickBot="1" x14ac:dyDescent="0.5"/>
    <row r="3" spans="1:12" ht="17.399999999999999" thickBot="1" x14ac:dyDescent="0.5">
      <c r="D3" s="135" t="s">
        <v>278</v>
      </c>
      <c r="E3" s="140" t="s">
        <v>337</v>
      </c>
      <c r="F3" s="139"/>
      <c r="G3" s="139"/>
      <c r="H3" s="49"/>
      <c r="I3" s="50"/>
    </row>
    <row r="4" spans="1:12" ht="24" customHeight="1" thickBot="1" x14ac:dyDescent="0.85">
      <c r="D4" s="91"/>
      <c r="F4" s="136" t="s">
        <v>292</v>
      </c>
      <c r="G4" s="138">
        <f>I4*I5/10000</f>
        <v>0.48</v>
      </c>
      <c r="H4" s="76" t="s">
        <v>169</v>
      </c>
      <c r="I4" s="92">
        <v>1200</v>
      </c>
    </row>
    <row r="5" spans="1:12" ht="19.8" thickBot="1" x14ac:dyDescent="0.55000000000000004">
      <c r="F5" s="10" t="s">
        <v>166</v>
      </c>
      <c r="G5" s="199">
        <f>Paramètres!$C$28</f>
        <v>1.5</v>
      </c>
      <c r="H5" s="76" t="s">
        <v>170</v>
      </c>
      <c r="I5" s="92">
        <v>4</v>
      </c>
    </row>
    <row r="6" spans="1:12" ht="17.399999999999999" thickBot="1" x14ac:dyDescent="0.5">
      <c r="F6" s="10" t="s">
        <v>180</v>
      </c>
      <c r="G6" s="199">
        <f>Paramètres!$C$27</f>
        <v>1.5</v>
      </c>
      <c r="H6" t="s">
        <v>300</v>
      </c>
      <c r="I6" s="100">
        <v>1</v>
      </c>
    </row>
    <row r="7" spans="1:12" ht="22.2" thickBot="1" x14ac:dyDescent="0.6">
      <c r="F7" s="10" t="s">
        <v>96</v>
      </c>
      <c r="G7" s="199">
        <f>Paramètres!$C$26</f>
        <v>20</v>
      </c>
      <c r="H7" t="s">
        <v>301</v>
      </c>
      <c r="I7" s="77">
        <f>I6*I4</f>
        <v>1200</v>
      </c>
    </row>
    <row r="8" spans="1:12" ht="21.6" x14ac:dyDescent="0.55000000000000004">
      <c r="F8" s="29"/>
      <c r="G8" s="134"/>
      <c r="H8" t="s">
        <v>302</v>
      </c>
      <c r="I8" s="77">
        <f>I7/G4</f>
        <v>2500</v>
      </c>
    </row>
    <row r="9" spans="1:12" ht="18" x14ac:dyDescent="0.5">
      <c r="D9" s="72" t="s">
        <v>304</v>
      </c>
      <c r="E9" s="72"/>
      <c r="F9" s="72"/>
      <c r="G9" s="72"/>
      <c r="H9" s="72" t="s">
        <v>303</v>
      </c>
      <c r="I9" s="72"/>
    </row>
    <row r="10" spans="1:12" ht="17.399999999999999" thickBot="1" x14ac:dyDescent="0.5">
      <c r="D10" t="s">
        <v>293</v>
      </c>
      <c r="H10" t="s">
        <v>294</v>
      </c>
    </row>
    <row r="11" spans="1:12" ht="21.75" customHeight="1" thickTop="1" thickBot="1" x14ac:dyDescent="0.6">
      <c r="D11" s="100"/>
      <c r="E11" s="111" t="s">
        <v>178</v>
      </c>
      <c r="F11" s="128" t="s">
        <v>171</v>
      </c>
      <c r="G11" s="73" t="s">
        <v>297</v>
      </c>
      <c r="H11" s="73"/>
      <c r="I11" s="75"/>
    </row>
    <row r="12" spans="1:12" ht="49.5" customHeight="1" thickBot="1" x14ac:dyDescent="0.5">
      <c r="A12" t="s">
        <v>160</v>
      </c>
      <c r="B12" t="s">
        <v>161</v>
      </c>
      <c r="C12" t="s">
        <v>162</v>
      </c>
      <c r="D12" s="126">
        <f>-100*G6</f>
        <v>-150</v>
      </c>
      <c r="E12" s="127" t="s">
        <v>179</v>
      </c>
      <c r="F12" s="125"/>
      <c r="G12" s="93" t="s">
        <v>305</v>
      </c>
      <c r="H12" s="88" t="s">
        <v>296</v>
      </c>
      <c r="I12" s="81">
        <v>2</v>
      </c>
      <c r="J12" t="s">
        <v>162</v>
      </c>
      <c r="K12" t="s">
        <v>161</v>
      </c>
      <c r="L12" t="s">
        <v>160</v>
      </c>
    </row>
    <row r="13" spans="1:12" ht="31.5" customHeight="1" x14ac:dyDescent="0.45">
      <c r="A13" t="e">
        <f>VLOOKUP(#REF!,listes!$AD$2:$AF$17,3,)</f>
        <v>#REF!</v>
      </c>
      <c r="B13" s="71" t="e">
        <f>VLOOKUP(#REF!,listes!$AD$2:$AE$17,2,FALSE)</f>
        <v>#REF!</v>
      </c>
      <c r="C13" s="71" t="e">
        <f>IF(B14="","",B13/B14+A13*$G$6/B14+$G$7/B14)</f>
        <v>#REF!</v>
      </c>
      <c r="D13" s="126"/>
      <c r="E13" s="127"/>
      <c r="F13" s="125"/>
      <c r="G13" s="85" t="s">
        <v>153</v>
      </c>
      <c r="H13" s="89" t="s">
        <v>123</v>
      </c>
      <c r="I13" s="342">
        <f>IF(H14="",0,(J13+J14)*I12)</f>
        <v>117.86834170854273</v>
      </c>
      <c r="J13" s="71">
        <f>IF(K14="","",K13/K14+L13*$G$6/K14+$G$7/K14)</f>
        <v>42.334170854271363</v>
      </c>
      <c r="K13" s="71">
        <f>VLOOKUP(H13,listes!$AD$2:$AE$17,2,FALSE)</f>
        <v>14.4</v>
      </c>
      <c r="L13">
        <f>VLOOKUP(H13,listes!$AD$2:$AF$17,3,)</f>
        <v>10.9</v>
      </c>
    </row>
    <row r="14" spans="1:12" ht="32.25" customHeight="1" thickBot="1" x14ac:dyDescent="0.5">
      <c r="B14" s="71" t="e">
        <f>IF(#REF!="","",VLOOKUP(#REF!,listes!$AH$2:$AM$23,6,FALSE))</f>
        <v>#REF!</v>
      </c>
      <c r="C14" t="e">
        <f>IF(#REF!="","",VLOOKUP(#REF!,listes!$AH$2:$AM$23,4,FALSE))</f>
        <v>#REF!</v>
      </c>
      <c r="D14" s="126"/>
      <c r="E14" s="127"/>
      <c r="F14" s="125"/>
      <c r="G14" s="85" t="s">
        <v>154</v>
      </c>
      <c r="H14" s="89" t="s">
        <v>130</v>
      </c>
      <c r="I14" s="342"/>
      <c r="J14">
        <f>IF(H14="","",VLOOKUP(H14,listes!$AH$2:$AM$23,4,FALSE))</f>
        <v>16.600000000000001</v>
      </c>
      <c r="K14" s="71">
        <f>IF(H14="","",VLOOKUP(H14,listes!$AH$2:$AM$23,6,FALSE))</f>
        <v>1.1987951807228914</v>
      </c>
    </row>
    <row r="15" spans="1:12" ht="35.25" customHeight="1" thickBot="1" x14ac:dyDescent="0.5">
      <c r="B15" s="71"/>
      <c r="C15" s="71"/>
      <c r="D15" s="126"/>
      <c r="E15" s="127"/>
      <c r="F15" s="125"/>
      <c r="G15" s="84" t="s">
        <v>306</v>
      </c>
      <c r="H15" s="88" t="s">
        <v>296</v>
      </c>
      <c r="I15" s="81">
        <v>1</v>
      </c>
      <c r="J15" s="71"/>
      <c r="K15" s="71"/>
    </row>
    <row r="16" spans="1:12" ht="32.25" customHeight="1" x14ac:dyDescent="0.45">
      <c r="A16" t="e">
        <f>VLOOKUP(#REF!,listes!$AD$2:$AF$17,3,)</f>
        <v>#REF!</v>
      </c>
      <c r="B16" s="71" t="e">
        <f>VLOOKUP(#REF!,listes!AD2:AE17,2,FALSE)</f>
        <v>#REF!</v>
      </c>
      <c r="C16" s="71" t="e">
        <f>IF(B17="","",B16/B17+A16*$G$6/B17+$G$7/B17)</f>
        <v>#REF!</v>
      </c>
      <c r="D16" s="126"/>
      <c r="E16" s="127"/>
      <c r="F16" s="125"/>
      <c r="G16" s="85" t="s">
        <v>153</v>
      </c>
      <c r="H16" s="89" t="s">
        <v>123</v>
      </c>
      <c r="I16" s="342">
        <f>IF(H17="",0,(J16+J17)*I15)</f>
        <v>61.837499999999999</v>
      </c>
      <c r="J16" s="71">
        <f>IF(K17="","",K16/K17+L16*$G$6/K17+$G$7/K17)</f>
        <v>42.4375</v>
      </c>
      <c r="K16" s="71">
        <f>VLOOKUP(H16,listes!$AD$2:$AE$17,2,FALSE)</f>
        <v>14.4</v>
      </c>
      <c r="L16">
        <f>VLOOKUP(H16,listes!$AD$2:$AF$17,3,)</f>
        <v>10.9</v>
      </c>
    </row>
    <row r="17" spans="2:11" ht="34.200000000000003" thickBot="1" x14ac:dyDescent="0.5">
      <c r="B17" s="71" t="e">
        <f>IF(#REF!="","",VLOOKUP(#REF!,listes!$AH$2:$AM$23,6,FALSE))</f>
        <v>#REF!</v>
      </c>
      <c r="C17" t="e">
        <f>IF(#REF!="","",VLOOKUP(#REF!,listes!$AH$2:$AM$23,4,FALSE))</f>
        <v>#REF!</v>
      </c>
      <c r="D17" s="126"/>
      <c r="E17" s="127"/>
      <c r="F17" s="125"/>
      <c r="G17" s="85" t="s">
        <v>154</v>
      </c>
      <c r="H17" s="89" t="s">
        <v>145</v>
      </c>
      <c r="I17" s="342"/>
      <c r="J17">
        <f>IF(H17="","",VLOOKUP(H17,listes!$AH$2:$AM$23,4,FALSE))</f>
        <v>19.399999999999999</v>
      </c>
      <c r="K17" s="71">
        <f>IF(H17="","",VLOOKUP(H17,listes!$AH$2:$AM$23,6,FALSE))</f>
        <v>1.1958762886597938</v>
      </c>
    </row>
    <row r="18" spans="2:11" ht="24" customHeight="1" thickBot="1" x14ac:dyDescent="0.5">
      <c r="B18" s="71"/>
      <c r="C18" s="71"/>
      <c r="D18" s="126"/>
      <c r="E18" s="127"/>
      <c r="F18" s="125"/>
      <c r="G18" s="84" t="s">
        <v>307</v>
      </c>
      <c r="H18" s="109"/>
      <c r="I18" s="110"/>
      <c r="J18" s="71"/>
      <c r="K18" s="71"/>
    </row>
    <row r="19" spans="2:11" ht="24" customHeight="1" x14ac:dyDescent="0.45">
      <c r="B19" s="71"/>
      <c r="C19" s="71"/>
      <c r="D19" s="126"/>
      <c r="E19" s="127"/>
      <c r="F19" s="104" t="s">
        <v>308</v>
      </c>
      <c r="G19" s="94" t="s">
        <v>172</v>
      </c>
      <c r="H19" s="120">
        <v>2</v>
      </c>
      <c r="I19" s="106">
        <f>H19*I8</f>
        <v>5000</v>
      </c>
      <c r="J19" s="71"/>
      <c r="K19" s="71"/>
    </row>
    <row r="20" spans="2:11" ht="24" customHeight="1" x14ac:dyDescent="0.45">
      <c r="B20" s="71"/>
      <c r="C20" s="71"/>
      <c r="D20" s="126"/>
      <c r="E20" s="127"/>
      <c r="F20" s="103" t="s">
        <v>309</v>
      </c>
      <c r="G20" s="94" t="s">
        <v>172</v>
      </c>
      <c r="H20" s="121">
        <v>2.25</v>
      </c>
      <c r="I20" s="107">
        <f>H20*I8</f>
        <v>5625</v>
      </c>
      <c r="J20" s="71"/>
      <c r="K20" s="71"/>
    </row>
    <row r="21" spans="2:11" ht="24" customHeight="1" x14ac:dyDescent="0.45">
      <c r="B21" s="71"/>
      <c r="C21" s="71"/>
      <c r="D21" s="126"/>
      <c r="E21" s="127"/>
      <c r="F21" s="103" t="s">
        <v>310</v>
      </c>
      <c r="G21" s="94" t="s">
        <v>172</v>
      </c>
      <c r="H21" s="121">
        <v>1.5</v>
      </c>
      <c r="I21" s="107">
        <f>H21*I8</f>
        <v>3750</v>
      </c>
      <c r="J21" s="71"/>
      <c r="K21" s="71"/>
    </row>
    <row r="22" spans="2:11" ht="24" customHeight="1" x14ac:dyDescent="0.45">
      <c r="B22" s="71"/>
      <c r="C22" s="71"/>
      <c r="D22" s="126"/>
      <c r="E22" s="127"/>
      <c r="F22" s="104" t="s">
        <v>173</v>
      </c>
      <c r="G22" s="94" t="s">
        <v>172</v>
      </c>
      <c r="H22" s="121">
        <v>0.5</v>
      </c>
      <c r="I22" s="107">
        <f>H22*I8</f>
        <v>1250</v>
      </c>
      <c r="J22" s="71"/>
      <c r="K22" s="71"/>
    </row>
    <row r="23" spans="2:11" ht="24.75" customHeight="1" x14ac:dyDescent="0.45">
      <c r="B23" s="71"/>
      <c r="C23" s="71"/>
      <c r="D23" s="126"/>
      <c r="E23" s="127"/>
      <c r="F23" s="104" t="s">
        <v>311</v>
      </c>
      <c r="G23" s="94" t="s">
        <v>174</v>
      </c>
      <c r="H23" s="121">
        <v>50</v>
      </c>
      <c r="I23" s="107">
        <f>H23*I8*G7/1000</f>
        <v>2500</v>
      </c>
      <c r="J23" s="71"/>
      <c r="K23" s="71"/>
    </row>
    <row r="24" spans="2:11" ht="24.75" customHeight="1" x14ac:dyDescent="0.45">
      <c r="B24" s="71"/>
      <c r="C24" s="71"/>
      <c r="D24" s="126"/>
      <c r="E24" s="127"/>
      <c r="F24" s="104" t="s">
        <v>312</v>
      </c>
      <c r="G24" s="5"/>
      <c r="H24" s="97"/>
      <c r="I24" s="108">
        <f>I23+I22+I21+I20+I19+I16+I13</f>
        <v>18304.705841708543</v>
      </c>
      <c r="J24" s="71"/>
      <c r="K24" s="71"/>
    </row>
    <row r="25" spans="2:11" ht="24.75" customHeight="1" thickBot="1" x14ac:dyDescent="0.5">
      <c r="B25" s="71"/>
      <c r="C25" s="71"/>
      <c r="D25" s="126"/>
      <c r="E25" s="127"/>
      <c r="F25" s="105" t="s">
        <v>313</v>
      </c>
      <c r="G25" s="74">
        <v>25</v>
      </c>
      <c r="H25" s="98" t="s">
        <v>175</v>
      </c>
      <c r="I25" s="131">
        <f>I24/G25</f>
        <v>732.1882336683417</v>
      </c>
      <c r="J25" s="71"/>
      <c r="K25" s="71"/>
    </row>
    <row r="26" spans="2:11" ht="24.75" customHeight="1" thickTop="1" x14ac:dyDescent="0.45">
      <c r="B26" s="71"/>
      <c r="C26" s="71"/>
      <c r="D26" s="95"/>
      <c r="F26" s="96" t="s">
        <v>183</v>
      </c>
      <c r="G26" s="122">
        <v>1</v>
      </c>
      <c r="H26" s="97"/>
      <c r="I26" s="99">
        <f>G26*I8/60*G7</f>
        <v>833.33333333333326</v>
      </c>
      <c r="J26" s="71"/>
      <c r="K26" s="71"/>
    </row>
    <row r="27" spans="2:11" ht="24.75" customHeight="1" thickBot="1" x14ac:dyDescent="0.5">
      <c r="B27" s="71"/>
      <c r="C27" s="71"/>
      <c r="D27" s="95"/>
      <c r="F27" s="96" t="s">
        <v>314</v>
      </c>
      <c r="G27" s="122"/>
      <c r="H27" s="97"/>
      <c r="I27" s="99">
        <f>G27</f>
        <v>0</v>
      </c>
      <c r="J27" s="71"/>
      <c r="K27" s="71"/>
    </row>
    <row r="28" spans="2:11" ht="24.75" customHeight="1" thickBot="1" x14ac:dyDescent="0.5">
      <c r="B28" s="71"/>
      <c r="C28" s="71"/>
      <c r="D28" s="129">
        <f>SUM(D12:D26)</f>
        <v>-150</v>
      </c>
      <c r="E28" s="11"/>
      <c r="F28" s="112" t="s">
        <v>181</v>
      </c>
      <c r="G28" s="18"/>
      <c r="H28" s="109"/>
      <c r="I28" s="133">
        <f>I26+I25</f>
        <v>1565.5215670016751</v>
      </c>
      <c r="J28" s="71"/>
      <c r="K28" s="71"/>
    </row>
    <row r="29" spans="2:11" ht="24.75" customHeight="1" thickBot="1" x14ac:dyDescent="0.5">
      <c r="B29" s="71"/>
      <c r="C29" s="71"/>
      <c r="D29" s="95"/>
      <c r="F29" s="113" t="s">
        <v>176</v>
      </c>
      <c r="G29" s="123"/>
      <c r="H29" s="114"/>
      <c r="I29" s="130">
        <f>G29</f>
        <v>0</v>
      </c>
      <c r="J29" s="71"/>
      <c r="K29" s="71"/>
    </row>
    <row r="30" spans="2:11" ht="40.5" customHeight="1" thickBot="1" x14ac:dyDescent="0.55000000000000004">
      <c r="B30" s="71"/>
      <c r="C30" s="71"/>
      <c r="D30" s="124">
        <v>-1000</v>
      </c>
      <c r="E30" s="11"/>
      <c r="F30" s="115" t="s">
        <v>315</v>
      </c>
      <c r="G30" s="116" t="s">
        <v>182</v>
      </c>
      <c r="H30" s="117"/>
      <c r="I30" s="118"/>
      <c r="J30" s="71"/>
      <c r="K30" s="71"/>
    </row>
    <row r="31" spans="2:11" ht="40.5" customHeight="1" thickBot="1" x14ac:dyDescent="0.5">
      <c r="B31" s="71"/>
      <c r="C31" s="71"/>
      <c r="J31" s="71"/>
      <c r="K31" s="71"/>
    </row>
    <row r="32" spans="2:11" ht="27.6" thickBot="1" x14ac:dyDescent="0.7">
      <c r="E32" s="119"/>
      <c r="F32" s="102" t="s">
        <v>177</v>
      </c>
      <c r="G32" s="132">
        <f>D30-D28-I28+I29+I30</f>
        <v>-2415.5215670016751</v>
      </c>
    </row>
    <row r="33" spans="5:7" ht="30" thickBot="1" x14ac:dyDescent="0.75">
      <c r="E33" s="119"/>
      <c r="F33" s="101" t="s">
        <v>168</v>
      </c>
      <c r="G33" s="83">
        <f>G32*G4</f>
        <v>-1159.450352160804</v>
      </c>
    </row>
  </sheetData>
  <sheetProtection sheet="1" objects="1" scenarios="1"/>
  <mergeCells count="2">
    <mergeCell ref="I13:I14"/>
    <mergeCell ref="I16:I17"/>
  </mergeCells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Footer>&amp;L&amp;D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600-000000000000}">
          <x14:formula1>
            <xm:f>listes!$AH$2:$AH$23</xm:f>
          </x14:formula1>
          <xm:sqref>H14 H17</xm:sqref>
        </x14:dataValidation>
        <x14:dataValidation type="list" allowBlank="1" showInputMessage="1" showErrorMessage="1" xr:uid="{00000000-0002-0000-0600-000001000000}">
          <x14:formula1>
            <xm:f>listes!$AD$2:$AD$17</xm:f>
          </x14:formula1>
          <xm:sqref>H16 H13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59999389629810485"/>
  </sheetPr>
  <dimension ref="A1:L37"/>
  <sheetViews>
    <sheetView zoomScaleNormal="100" zoomScaleSheetLayoutView="85" workbookViewId="0"/>
  </sheetViews>
  <sheetFormatPr baseColWidth="10" defaultRowHeight="16.8" x14ac:dyDescent="0.45"/>
  <cols>
    <col min="1" max="1" width="18.88671875" customWidth="1"/>
    <col min="2" max="2" width="12.88671875" customWidth="1"/>
    <col min="3" max="3" width="15.88671875" customWidth="1"/>
    <col min="4" max="4" width="26.33203125" customWidth="1"/>
    <col min="5" max="5" width="12.109375" bestFit="1" customWidth="1"/>
    <col min="12" max="12" width="5.6640625" customWidth="1"/>
  </cols>
  <sheetData>
    <row r="1" spans="1:12" x14ac:dyDescent="0.45">
      <c r="A1" t="str">
        <f>Paramètres!C23</f>
        <v>SCEA DUPONT</v>
      </c>
    </row>
    <row r="2" spans="1:12" ht="17.399999999999999" thickBot="1" x14ac:dyDescent="0.5"/>
    <row r="3" spans="1:12" ht="17.399999999999999" thickBot="1" x14ac:dyDescent="0.5">
      <c r="A3" s="135" t="s">
        <v>282</v>
      </c>
      <c r="B3" s="140" t="s">
        <v>266</v>
      </c>
      <c r="C3" s="139"/>
      <c r="D3" s="49"/>
      <c r="E3" s="49"/>
      <c r="F3" s="49"/>
      <c r="G3" s="49"/>
      <c r="H3" s="49"/>
      <c r="I3" s="49"/>
      <c r="J3" s="49"/>
      <c r="K3" s="50"/>
    </row>
    <row r="4" spans="1:12" ht="21.6" x14ac:dyDescent="0.55000000000000004">
      <c r="A4" s="77" t="s">
        <v>316</v>
      </c>
    </row>
    <row r="5" spans="1:12" ht="21.6" x14ac:dyDescent="0.45">
      <c r="A5" s="165" t="s">
        <v>216</v>
      </c>
      <c r="B5" s="344" t="s">
        <v>215</v>
      </c>
      <c r="C5" s="345"/>
      <c r="D5" s="344" t="s">
        <v>214</v>
      </c>
      <c r="E5" s="345"/>
      <c r="F5" s="344" t="s">
        <v>213</v>
      </c>
      <c r="G5" s="345"/>
      <c r="H5" s="344" t="s">
        <v>212</v>
      </c>
      <c r="I5" s="345"/>
      <c r="J5" s="344" t="s">
        <v>211</v>
      </c>
      <c r="K5" s="345"/>
    </row>
    <row r="6" spans="1:12" x14ac:dyDescent="0.45">
      <c r="A6" t="s">
        <v>317</v>
      </c>
      <c r="C6" s="100">
        <v>25</v>
      </c>
      <c r="E6" s="100"/>
      <c r="G6" s="100">
        <v>10</v>
      </c>
      <c r="I6" s="100"/>
      <c r="K6" s="100"/>
    </row>
    <row r="7" spans="1:12" x14ac:dyDescent="0.45">
      <c r="A7" t="s">
        <v>318</v>
      </c>
      <c r="B7" t="s">
        <v>228</v>
      </c>
      <c r="C7" s="100">
        <v>1.5</v>
      </c>
      <c r="D7" t="s">
        <v>227</v>
      </c>
      <c r="E7" s="100"/>
      <c r="F7" t="s">
        <v>224</v>
      </c>
      <c r="G7" s="100">
        <v>5</v>
      </c>
      <c r="H7" t="s">
        <v>225</v>
      </c>
      <c r="I7" s="100"/>
      <c r="J7" t="s">
        <v>226</v>
      </c>
      <c r="K7" s="100"/>
    </row>
    <row r="8" spans="1:12" x14ac:dyDescent="0.45">
      <c r="A8" t="s">
        <v>319</v>
      </c>
      <c r="C8" s="166">
        <f>C6*C7</f>
        <v>37.5</v>
      </c>
      <c r="D8" s="166"/>
      <c r="E8" s="166">
        <f>E6*E7</f>
        <v>0</v>
      </c>
      <c r="F8" s="166"/>
      <c r="G8" s="166">
        <f>G6*G7</f>
        <v>50</v>
      </c>
      <c r="H8" s="166"/>
      <c r="I8" s="166">
        <f>I6*I7</f>
        <v>0</v>
      </c>
      <c r="J8" s="166"/>
      <c r="K8" s="166">
        <f>K6*K7</f>
        <v>0</v>
      </c>
    </row>
    <row r="9" spans="1:12" x14ac:dyDescent="0.45">
      <c r="A9" s="157"/>
      <c r="B9" s="156" t="s">
        <v>210</v>
      </c>
      <c r="C9" s="155" t="s">
        <v>195</v>
      </c>
      <c r="D9" s="156" t="s">
        <v>210</v>
      </c>
      <c r="E9" s="155" t="s">
        <v>195</v>
      </c>
      <c r="F9" s="156" t="s">
        <v>210</v>
      </c>
      <c r="G9" s="155" t="s">
        <v>195</v>
      </c>
      <c r="H9" s="156" t="s">
        <v>210</v>
      </c>
      <c r="I9" s="155" t="s">
        <v>195</v>
      </c>
      <c r="J9" s="156" t="s">
        <v>210</v>
      </c>
      <c r="K9" s="155" t="s">
        <v>195</v>
      </c>
    </row>
    <row r="10" spans="1:12" x14ac:dyDescent="0.45">
      <c r="A10" t="s">
        <v>209</v>
      </c>
      <c r="B10" s="159"/>
      <c r="C10" s="160"/>
      <c r="D10" s="159">
        <v>7</v>
      </c>
      <c r="E10" s="160"/>
      <c r="F10" s="159">
        <v>7</v>
      </c>
      <c r="G10" s="160"/>
      <c r="H10" s="159">
        <v>7</v>
      </c>
      <c r="I10" s="160"/>
      <c r="J10" s="159">
        <v>7</v>
      </c>
      <c r="K10" s="154"/>
    </row>
    <row r="11" spans="1:12" x14ac:dyDescent="0.45">
      <c r="A11" t="s">
        <v>320</v>
      </c>
      <c r="B11" s="182">
        <v>0</v>
      </c>
      <c r="C11" s="154"/>
      <c r="D11" s="182">
        <v>0</v>
      </c>
      <c r="E11" s="154"/>
      <c r="F11" s="182">
        <v>0</v>
      </c>
      <c r="G11" s="154"/>
      <c r="H11" s="182">
        <v>0</v>
      </c>
      <c r="I11" s="154"/>
      <c r="J11" s="182">
        <v>0</v>
      </c>
      <c r="K11" s="154"/>
    </row>
    <row r="12" spans="1:12" x14ac:dyDescent="0.45">
      <c r="A12" t="s">
        <v>208</v>
      </c>
      <c r="B12" s="153">
        <f>B10*B11</f>
        <v>0</v>
      </c>
      <c r="C12" s="152">
        <f>Paramètres!$H$34*B12</f>
        <v>0</v>
      </c>
      <c r="D12" s="153">
        <f>D10*D11</f>
        <v>0</v>
      </c>
      <c r="E12" s="152">
        <f>Paramètres!$H$34*D12</f>
        <v>0</v>
      </c>
      <c r="F12" s="153">
        <f>F10*F11</f>
        <v>0</v>
      </c>
      <c r="G12" s="152">
        <f>Paramètres!$H$34*F12</f>
        <v>0</v>
      </c>
      <c r="H12" s="153">
        <f>H10*H11</f>
        <v>0</v>
      </c>
      <c r="I12" s="152">
        <f>Paramètres!$H$34*H12</f>
        <v>0</v>
      </c>
      <c r="J12" s="153">
        <f>J10*J11</f>
        <v>0</v>
      </c>
      <c r="K12" s="152">
        <f>Paramètres!$H$34*J12</f>
        <v>0</v>
      </c>
    </row>
    <row r="13" spans="1:12" x14ac:dyDescent="0.45">
      <c r="A13" t="s">
        <v>197</v>
      </c>
      <c r="B13" s="159">
        <v>2.1</v>
      </c>
      <c r="C13" s="161">
        <f>Paramètres!$H$39*B13</f>
        <v>3.5096831062080907</v>
      </c>
      <c r="D13" s="159">
        <v>1.7</v>
      </c>
      <c r="E13" s="161">
        <f>Paramètres!$H$39*D13</f>
        <v>2.8411720383589301</v>
      </c>
      <c r="F13" s="159">
        <v>1.7</v>
      </c>
      <c r="G13" s="161">
        <f>Paramètres!$H$39*F13</f>
        <v>2.8411720383589301</v>
      </c>
      <c r="H13" s="159">
        <v>1</v>
      </c>
      <c r="I13" s="161">
        <f>Paramètres!$H$39*H13</f>
        <v>1.6712776696229001</v>
      </c>
      <c r="J13" s="159">
        <v>2</v>
      </c>
      <c r="K13" s="152">
        <f>Paramètres!$H$39*J13</f>
        <v>3.3425553392458003</v>
      </c>
    </row>
    <row r="14" spans="1:12" x14ac:dyDescent="0.45">
      <c r="A14" s="151" t="s">
        <v>89</v>
      </c>
      <c r="B14" s="162">
        <v>19</v>
      </c>
      <c r="C14" s="163">
        <f>Paramètres!$H$42*B14</f>
        <v>26.916666666666664</v>
      </c>
      <c r="D14" s="162">
        <v>14.5</v>
      </c>
      <c r="E14" s="163">
        <f>Paramètres!$H$42*D14</f>
        <v>20.541666666666664</v>
      </c>
      <c r="F14" s="162">
        <v>12.3</v>
      </c>
      <c r="G14" s="163">
        <f>Paramètres!$H$42*F14</f>
        <v>17.425000000000001</v>
      </c>
      <c r="H14" s="162">
        <v>12.9</v>
      </c>
      <c r="I14" s="163">
        <f>Paramètres!$H$42*H14</f>
        <v>18.274999999999999</v>
      </c>
      <c r="J14" s="162">
        <v>10</v>
      </c>
      <c r="K14" s="150">
        <f>Paramètres!$H$42*J14</f>
        <v>14.166666666666664</v>
      </c>
    </row>
    <row r="15" spans="1:12" ht="51" thickBot="1" x14ac:dyDescent="0.5">
      <c r="A15" s="149" t="s">
        <v>321</v>
      </c>
      <c r="C15" s="167">
        <f>SUM(C12:C14)</f>
        <v>30.426349772874755</v>
      </c>
      <c r="D15" t="s">
        <v>207</v>
      </c>
      <c r="E15" s="148">
        <f>SUM(E12:E14)</f>
        <v>23.382838705025595</v>
      </c>
      <c r="F15" t="s">
        <v>207</v>
      </c>
      <c r="G15" s="148">
        <f>SUM(G12:G14)</f>
        <v>20.266172038358931</v>
      </c>
      <c r="H15" t="s">
        <v>207</v>
      </c>
      <c r="I15" s="148">
        <f>SUM(I12:I14)</f>
        <v>19.946277669622898</v>
      </c>
      <c r="J15" t="s">
        <v>207</v>
      </c>
      <c r="K15" s="148">
        <f>SUM(K12:K14)</f>
        <v>17.509222005912463</v>
      </c>
      <c r="L15" t="s">
        <v>207</v>
      </c>
    </row>
    <row r="16" spans="1:12" ht="19.2" thickTop="1" thickBot="1" x14ac:dyDescent="0.55000000000000004">
      <c r="A16" s="29" t="s">
        <v>322</v>
      </c>
      <c r="C16" s="169">
        <f>C8*C15</f>
        <v>1140.9881164828032</v>
      </c>
      <c r="E16" s="169">
        <f>E8*E15</f>
        <v>0</v>
      </c>
      <c r="G16" s="169">
        <f>G8*G15</f>
        <v>1013.3086019179466</v>
      </c>
      <c r="I16" s="169">
        <f>I8*I15</f>
        <v>0</v>
      </c>
      <c r="K16" s="169">
        <f>K8*K15</f>
        <v>0</v>
      </c>
    </row>
    <row r="17" spans="1:12" ht="22.2" thickTop="1" x14ac:dyDescent="0.55000000000000004">
      <c r="A17" s="170" t="s">
        <v>229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2"/>
    </row>
    <row r="18" spans="1:12" x14ac:dyDescent="0.45">
      <c r="A18" s="173" t="s">
        <v>323</v>
      </c>
      <c r="B18" s="5"/>
      <c r="C18" s="122">
        <v>75</v>
      </c>
      <c r="D18" s="5" t="s">
        <v>195</v>
      </c>
      <c r="E18" s="122"/>
      <c r="F18" s="5" t="s">
        <v>195</v>
      </c>
      <c r="G18" s="122">
        <v>50</v>
      </c>
      <c r="H18" s="5" t="s">
        <v>195</v>
      </c>
      <c r="I18" s="122"/>
      <c r="J18" s="5" t="s">
        <v>195</v>
      </c>
      <c r="K18" s="183"/>
      <c r="L18" t="s">
        <v>195</v>
      </c>
    </row>
    <row r="19" spans="1:12" s="76" customFormat="1" ht="19.8" thickBot="1" x14ac:dyDescent="0.55000000000000004">
      <c r="A19" s="174" t="s">
        <v>324</v>
      </c>
      <c r="B19" s="175"/>
      <c r="C19" s="175">
        <f>C18*C8</f>
        <v>2812.5</v>
      </c>
      <c r="D19" s="175"/>
      <c r="E19" s="175">
        <f>E18*E8</f>
        <v>0</v>
      </c>
      <c r="F19" s="175"/>
      <c r="G19" s="175">
        <f>G18*G8</f>
        <v>2500</v>
      </c>
      <c r="H19" s="175"/>
      <c r="I19" s="175">
        <v>0</v>
      </c>
      <c r="J19" s="175"/>
      <c r="K19" s="176">
        <f>K18*K8</f>
        <v>0</v>
      </c>
    </row>
    <row r="20" spans="1:12" ht="19.8" thickTop="1" x14ac:dyDescent="0.5">
      <c r="A20" s="76"/>
    </row>
    <row r="21" spans="1:12" ht="17.399999999999999" thickBot="1" x14ac:dyDescent="0.5"/>
    <row r="22" spans="1:12" ht="17.399999999999999" thickBot="1" x14ac:dyDescent="0.5">
      <c r="A22" s="53"/>
      <c r="B22" s="51" t="str">
        <f>B3</f>
        <v>Restitution des pailles</v>
      </c>
      <c r="C22" s="49"/>
      <c r="D22" s="49"/>
      <c r="E22" s="50"/>
    </row>
    <row r="23" spans="1:12" ht="17.399999999999999" thickBot="1" x14ac:dyDescent="0.5">
      <c r="A23" s="16" t="s">
        <v>275</v>
      </c>
      <c r="B23" s="11"/>
      <c r="C23" s="18">
        <f>C6+E6+G6+I6+K6</f>
        <v>35</v>
      </c>
      <c r="D23" s="18" t="s">
        <v>230</v>
      </c>
      <c r="E23" s="12"/>
    </row>
    <row r="24" spans="1:12" ht="17.399999999999999" thickBot="1" x14ac:dyDescent="0.5">
      <c r="A24" t="s">
        <v>266</v>
      </c>
      <c r="C24" s="8"/>
      <c r="D24" s="196" t="s">
        <v>326</v>
      </c>
    </row>
    <row r="25" spans="1:12" x14ac:dyDescent="0.45">
      <c r="A25" s="1" t="s">
        <v>325</v>
      </c>
      <c r="B25" s="1"/>
      <c r="C25" s="189"/>
      <c r="D25" s="191" t="s">
        <v>327</v>
      </c>
      <c r="E25" s="168">
        <f>C16+E16+G16+I16+K16</f>
        <v>2154.2967184007498</v>
      </c>
    </row>
    <row r="26" spans="1:12" x14ac:dyDescent="0.45">
      <c r="A26" s="100" t="s">
        <v>330</v>
      </c>
      <c r="B26" s="185"/>
      <c r="C26" s="190"/>
      <c r="D26" s="192" t="s">
        <v>328</v>
      </c>
      <c r="E26" s="184"/>
    </row>
    <row r="27" spans="1:12" x14ac:dyDescent="0.45">
      <c r="A27" s="100"/>
      <c r="B27" s="185"/>
      <c r="C27" s="190"/>
      <c r="D27" s="192" t="s">
        <v>329</v>
      </c>
      <c r="E27" s="184"/>
    </row>
    <row r="28" spans="1:12" ht="17.399999999999999" thickBot="1" x14ac:dyDescent="0.5">
      <c r="A28" s="100"/>
      <c r="B28" s="186"/>
      <c r="C28" s="190"/>
      <c r="D28" s="192"/>
      <c r="E28" s="184"/>
    </row>
    <row r="29" spans="1:12" ht="17.399999999999999" thickBot="1" x14ac:dyDescent="0.5">
      <c r="A29" s="1" t="s">
        <v>333</v>
      </c>
      <c r="C29" s="1">
        <f>SUM(C25:C28)</f>
        <v>0</v>
      </c>
      <c r="D29" s="191"/>
      <c r="E29" s="177">
        <f>SUM(E25:E28)</f>
        <v>2154.2967184007498</v>
      </c>
    </row>
    <row r="30" spans="1:12" x14ac:dyDescent="0.45">
      <c r="A30" s="1" t="s">
        <v>334</v>
      </c>
      <c r="B30" s="2"/>
      <c r="C30" s="123"/>
      <c r="D30" s="191" t="s">
        <v>331</v>
      </c>
      <c r="E30" s="3">
        <f>C19+E19+G19+I19+K19</f>
        <v>5312.5</v>
      </c>
    </row>
    <row r="31" spans="1:12" ht="17.399999999999999" thickBot="1" x14ac:dyDescent="0.5">
      <c r="A31" s="187"/>
      <c r="B31" s="188"/>
      <c r="C31" s="188"/>
      <c r="D31" s="193"/>
      <c r="E31" s="186"/>
    </row>
    <row r="32" spans="1:12" ht="17.399999999999999" thickBot="1" x14ac:dyDescent="0.5">
      <c r="A32" s="10" t="s">
        <v>332</v>
      </c>
      <c r="B32" s="11"/>
      <c r="C32" s="10">
        <f>C30+C31</f>
        <v>0</v>
      </c>
      <c r="D32" s="194"/>
      <c r="E32" s="13">
        <f>E30+E31</f>
        <v>5312.5</v>
      </c>
    </row>
    <row r="33" spans="1:5" s="76" customFormat="1" ht="19.8" thickBot="1" x14ac:dyDescent="0.55000000000000004">
      <c r="A33" s="179" t="s">
        <v>335</v>
      </c>
      <c r="B33" s="116"/>
      <c r="C33" s="179">
        <f>C32-C29</f>
        <v>0</v>
      </c>
      <c r="D33" s="195"/>
      <c r="E33" s="180">
        <f>E32-E29</f>
        <v>3158.2032815992502</v>
      </c>
    </row>
    <row r="34" spans="1:5" x14ac:dyDescent="0.45">
      <c r="B34" s="5"/>
      <c r="C34" s="5"/>
      <c r="D34" s="5"/>
      <c r="E34" s="5"/>
    </row>
    <row r="35" spans="1:5" ht="17.399999999999999" thickBot="1" x14ac:dyDescent="0.5"/>
    <row r="36" spans="1:5" ht="27.6" thickBot="1" x14ac:dyDescent="0.7">
      <c r="A36" s="54"/>
      <c r="B36" s="119"/>
      <c r="C36" s="102" t="s">
        <v>177</v>
      </c>
      <c r="D36" s="132">
        <f>D37/C23</f>
        <v>-90.234379474264287</v>
      </c>
    </row>
    <row r="37" spans="1:5" ht="30" thickBot="1" x14ac:dyDescent="0.75">
      <c r="A37" s="54"/>
      <c r="B37" s="181"/>
      <c r="C37" s="101" t="s">
        <v>168</v>
      </c>
      <c r="D37" s="83">
        <f>C33-E33</f>
        <v>-3158.2032815992502</v>
      </c>
    </row>
  </sheetData>
  <sheetProtection sheet="1" objects="1" scenarios="1"/>
  <mergeCells count="5">
    <mergeCell ref="B5:C5"/>
    <mergeCell ref="D5:E5"/>
    <mergeCell ref="F5:G5"/>
    <mergeCell ref="H5:I5"/>
    <mergeCell ref="J5:K5"/>
  </mergeCells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Footer>&amp;L&amp;D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-0.249977111117893"/>
  </sheetPr>
  <dimension ref="A1:I13"/>
  <sheetViews>
    <sheetView workbookViewId="0"/>
  </sheetViews>
  <sheetFormatPr baseColWidth="10" defaultRowHeight="16.8" x14ac:dyDescent="0.45"/>
  <cols>
    <col min="1" max="1" width="25.6640625" customWidth="1"/>
    <col min="2" max="2" width="28.33203125" customWidth="1"/>
    <col min="3" max="3" width="24.6640625" customWidth="1"/>
    <col min="4" max="4" width="15.88671875" customWidth="1"/>
    <col min="5" max="5" width="16.109375" customWidth="1"/>
    <col min="6" max="6" width="17.44140625" customWidth="1"/>
    <col min="7" max="7" width="20.33203125" customWidth="1"/>
    <col min="8" max="8" width="26" customWidth="1"/>
    <col min="9" max="9" width="19.33203125" customWidth="1"/>
  </cols>
  <sheetData>
    <row r="1" spans="1:9" x14ac:dyDescent="0.45">
      <c r="A1" t="str">
        <f>Paramètres!C23</f>
        <v>SCEA DUPONT</v>
      </c>
    </row>
    <row r="2" spans="1:9" ht="17.399999999999999" thickBot="1" x14ac:dyDescent="0.5"/>
    <row r="3" spans="1:9" ht="17.399999999999999" thickBot="1" x14ac:dyDescent="0.5">
      <c r="A3" s="135" t="s">
        <v>279</v>
      </c>
      <c r="B3" s="140" t="s">
        <v>245</v>
      </c>
      <c r="C3" s="139"/>
      <c r="D3" s="49"/>
      <c r="E3" s="49"/>
      <c r="F3" s="49"/>
      <c r="G3" s="49"/>
      <c r="H3" s="49"/>
      <c r="I3" s="50"/>
    </row>
    <row r="4" spans="1:9" x14ac:dyDescent="0.45">
      <c r="A4" s="234" t="s">
        <v>336</v>
      </c>
      <c r="B4" s="261">
        <v>50</v>
      </c>
      <c r="C4" s="236" t="s">
        <v>230</v>
      </c>
      <c r="D4" s="29"/>
      <c r="E4" s="29"/>
      <c r="F4" s="29"/>
      <c r="G4" s="29"/>
      <c r="H4" s="29"/>
    </row>
    <row r="5" spans="1:9" x14ac:dyDescent="0.45">
      <c r="A5" s="218" t="s">
        <v>249</v>
      </c>
      <c r="B5" s="231">
        <v>85</v>
      </c>
      <c r="C5" s="217" t="s">
        <v>248</v>
      </c>
    </row>
    <row r="6" spans="1:9" x14ac:dyDescent="0.45">
      <c r="A6" s="218" t="s">
        <v>250</v>
      </c>
      <c r="B6" s="232">
        <v>300</v>
      </c>
      <c r="C6" s="217" t="s">
        <v>195</v>
      </c>
    </row>
    <row r="7" spans="1:9" x14ac:dyDescent="0.45">
      <c r="A7" s="218" t="s">
        <v>234</v>
      </c>
      <c r="B7" s="242">
        <v>0.5</v>
      </c>
      <c r="C7" s="217" t="s">
        <v>252</v>
      </c>
    </row>
    <row r="8" spans="1:9" x14ac:dyDescent="0.45">
      <c r="A8" s="218" t="s">
        <v>246</v>
      </c>
      <c r="B8" s="233">
        <f>Paramètres!F35</f>
        <v>2.9701492537313428</v>
      </c>
      <c r="C8" s="217" t="s">
        <v>194</v>
      </c>
    </row>
    <row r="9" spans="1:9" x14ac:dyDescent="0.45">
      <c r="A9" s="218" t="s">
        <v>247</v>
      </c>
      <c r="B9" s="233">
        <f>Paramètres!F34</f>
        <v>2.9333333333333331</v>
      </c>
      <c r="C9" s="217" t="s">
        <v>194</v>
      </c>
    </row>
    <row r="11" spans="1:9" x14ac:dyDescent="0.45">
      <c r="C11" t="s">
        <v>235</v>
      </c>
    </row>
    <row r="12" spans="1:9" ht="18" x14ac:dyDescent="0.45">
      <c r="C12" s="219" t="s">
        <v>236</v>
      </c>
      <c r="D12" s="219" t="s">
        <v>237</v>
      </c>
      <c r="E12" s="219" t="s">
        <v>238</v>
      </c>
      <c r="F12" s="219" t="s">
        <v>239</v>
      </c>
      <c r="G12" s="219" t="s">
        <v>254</v>
      </c>
      <c r="H12" s="220" t="s">
        <v>240</v>
      </c>
      <c r="I12" s="220" t="s">
        <v>251</v>
      </c>
    </row>
    <row r="13" spans="1:9" ht="21.6" x14ac:dyDescent="0.55000000000000004">
      <c r="B13" s="221" t="s">
        <v>241</v>
      </c>
      <c r="C13" s="146">
        <v>2.5</v>
      </c>
      <c r="D13" s="222">
        <v>3.5000000000000001E-3</v>
      </c>
      <c r="E13" s="146">
        <v>17</v>
      </c>
      <c r="F13" s="223"/>
      <c r="G13" s="262">
        <v>10</v>
      </c>
      <c r="H13" s="224">
        <f>((B5+C13)/10)*(B6+(B7*D13*1000))-(E13*B8)-(B5*B6/10)-G13</f>
        <v>29.819962686567123</v>
      </c>
      <c r="I13" s="235">
        <f>B4*H13</f>
        <v>1490.9981343283562</v>
      </c>
    </row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72" orientation="portrait" verticalDpi="0" r:id="rId1"/>
  <headerFooter>
    <oddFooter>&amp;L&amp;D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5</vt:i4>
      </vt:variant>
    </vt:vector>
  </HeadingPairs>
  <TitlesOfParts>
    <vt:vector size="16" baseType="lpstr">
      <vt:lpstr>Paramètres</vt:lpstr>
      <vt:lpstr>Synthèse </vt:lpstr>
      <vt:lpstr>1. Culture bas intrants N</vt:lpstr>
      <vt:lpstr>2. Substitution EM par EO</vt:lpstr>
      <vt:lpstr>3. Substition N liq-sol-inhib</vt:lpstr>
      <vt:lpstr>4. Interculture</vt:lpstr>
      <vt:lpstr>5. Haie</vt:lpstr>
      <vt:lpstr>6. Restitut° des pailles</vt:lpstr>
      <vt:lpstr>7. Pilotage de l'N</vt:lpstr>
      <vt:lpstr>8. Prairie temporaire</vt:lpstr>
      <vt:lpstr>listes</vt:lpstr>
      <vt:lpstr>Table_Cultures</vt:lpstr>
      <vt:lpstr>'1. Culture bas intrants N'!Type_matériel</vt:lpstr>
      <vt:lpstr>'5. Haie'!Zone_d_impression</vt:lpstr>
      <vt:lpstr>'6. Restitut° des pailles'!Zone_d_impression</vt:lpstr>
      <vt:lpstr>Paramètres!Zone_d_impression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Stéphanie ROULOT</dc:creator>
  <cp:lastModifiedBy>LAPIERRE Etienne</cp:lastModifiedBy>
  <cp:lastPrinted>2022-03-18T14:38:05Z</cp:lastPrinted>
  <dcterms:created xsi:type="dcterms:W3CDTF">2015-11-16T07:40:08Z</dcterms:created>
  <dcterms:modified xsi:type="dcterms:W3CDTF">2022-06-16T07:12:13Z</dcterms:modified>
</cp:coreProperties>
</file>